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firstSheet="1" activeTab="5"/>
  </bookViews>
  <sheets>
    <sheet name="2009 год план" sheetId="1" r:id="rId1"/>
    <sheet name="табл" sheetId="2" r:id="rId2"/>
    <sheet name="газ" sheetId="3" r:id="rId3"/>
    <sheet name="уголь" sheetId="4" r:id="rId4"/>
    <sheet name="смета Майма(уголь)" sheetId="5" r:id="rId5"/>
    <sheet name="смета (Майма (газ) " sheetId="6" r:id="rId6"/>
  </sheets>
  <externalReferences>
    <externalReference r:id="rId9"/>
    <externalReference r:id="rId10"/>
    <externalReference r:id="rId11"/>
  </externalReferences>
  <definedNames>
    <definedName name="_xlnm.Print_Area" localSheetId="0">'2009 год план'!$R$3:$Y$78</definedName>
    <definedName name="_xlnm.Print_Area" localSheetId="2">'газ'!$A$3:$P$13</definedName>
    <definedName name="_xlnm.Print_Area" localSheetId="5">'смета (Майма (газ) '!$A$1:$J$46</definedName>
    <definedName name="_xlnm.Print_Area" localSheetId="3">'уголь'!$A$3:$P$13</definedName>
  </definedNames>
  <calcPr fullCalcOnLoad="1"/>
</workbook>
</file>

<file path=xl/sharedStrings.xml><?xml version="1.0" encoding="utf-8"?>
<sst xmlns="http://schemas.openxmlformats.org/spreadsheetml/2006/main" count="492" uniqueCount="161">
  <si>
    <t>Год</t>
  </si>
  <si>
    <t>Условно-постоянные затраты</t>
  </si>
  <si>
    <t>Средний тариф</t>
  </si>
  <si>
    <t>Ед.изм.</t>
  </si>
  <si>
    <t>2009 год</t>
  </si>
  <si>
    <t>2010 год</t>
  </si>
  <si>
    <t>2011 год</t>
  </si>
  <si>
    <t>2012 год</t>
  </si>
  <si>
    <t>2013 год</t>
  </si>
  <si>
    <t>2014 год</t>
  </si>
  <si>
    <t>руб.</t>
  </si>
  <si>
    <t>С угольной составляющей</t>
  </si>
  <si>
    <t>С газовой составляющей</t>
  </si>
  <si>
    <t>табл.1</t>
  </si>
  <si>
    <t>табл.2</t>
  </si>
  <si>
    <t>ВСЕГО Майма</t>
  </si>
  <si>
    <t>Общесистемные</t>
  </si>
  <si>
    <t>ГАЗ</t>
  </si>
  <si>
    <t>котельная №2</t>
  </si>
  <si>
    <t>котельная №3</t>
  </si>
  <si>
    <t>котельная №4</t>
  </si>
  <si>
    <t>котельная №5</t>
  </si>
  <si>
    <t>котельная №7</t>
  </si>
  <si>
    <t>котельная №8</t>
  </si>
  <si>
    <t>котельная №10</t>
  </si>
  <si>
    <t>котельная №11</t>
  </si>
  <si>
    <t>котельная №12</t>
  </si>
  <si>
    <t>котельная №16</t>
  </si>
  <si>
    <t>котельная №20</t>
  </si>
  <si>
    <t>Майма</t>
  </si>
  <si>
    <t>Соузга</t>
  </si>
  <si>
    <t>Кызыл-Озек</t>
  </si>
  <si>
    <t>Дубровка</t>
  </si>
  <si>
    <t>Верх-Карагуж</t>
  </si>
  <si>
    <t>Подгорное</t>
  </si>
  <si>
    <t>ВСЕГО</t>
  </si>
  <si>
    <t>Реализация, Гкал</t>
  </si>
  <si>
    <t>Собственные нужды, Гкал</t>
  </si>
  <si>
    <t>Потери, Гкал</t>
  </si>
  <si>
    <t>Выработка, Гкал</t>
  </si>
  <si>
    <t>Затраты на производство и распределение тепловой энергии</t>
  </si>
  <si>
    <t xml:space="preserve">Топливо </t>
  </si>
  <si>
    <t>Перевозка топлива</t>
  </si>
  <si>
    <t>Резервное топливо, руб.</t>
  </si>
  <si>
    <t>Резервное топливо, тонн</t>
  </si>
  <si>
    <t>Итого затраты по статье топливо</t>
  </si>
  <si>
    <t>Электроэнергия</t>
  </si>
  <si>
    <t>Вода на технологические нужды</t>
  </si>
  <si>
    <t>Заработная плата</t>
  </si>
  <si>
    <t>Едининый социальный налог</t>
  </si>
  <si>
    <t>Ремонтный фонд</t>
  </si>
  <si>
    <t xml:space="preserve">                           текущий ремонт</t>
  </si>
  <si>
    <t xml:space="preserve">                          капитальный ремонт</t>
  </si>
  <si>
    <t>Услуги производ-го характера</t>
  </si>
  <si>
    <t>бытовое вод., канализация и ТБО</t>
  </si>
  <si>
    <t>автоуслуги</t>
  </si>
  <si>
    <t>ремонт подрядным способом</t>
  </si>
  <si>
    <t>обслуживание эл.сетей</t>
  </si>
  <si>
    <t>обслуживание котельной</t>
  </si>
  <si>
    <t>Материалы</t>
  </si>
  <si>
    <t>ГСМ</t>
  </si>
  <si>
    <t>вспомогательные</t>
  </si>
  <si>
    <t>в т.ч. эксплуатация обрудования</t>
  </si>
  <si>
    <t xml:space="preserve">          ремонт автотракт.техники</t>
  </si>
  <si>
    <t xml:space="preserve">         приобретение основных средств</t>
  </si>
  <si>
    <t xml:space="preserve">         приобретение инстр.и приборов </t>
  </si>
  <si>
    <t xml:space="preserve">         химводоочистка</t>
  </si>
  <si>
    <t xml:space="preserve">        приобретение огнетушителей</t>
  </si>
  <si>
    <t xml:space="preserve">        спецодежда</t>
  </si>
  <si>
    <t>Амортизация (консервация)</t>
  </si>
  <si>
    <t>Консервация котельной</t>
  </si>
  <si>
    <t>Прочие расходы</t>
  </si>
  <si>
    <t>Анализы угля</t>
  </si>
  <si>
    <t>Услуги связи</t>
  </si>
  <si>
    <t>Аренда имущества (котельная)</t>
  </si>
  <si>
    <t>Аренда земли</t>
  </si>
  <si>
    <t>обслуживание контрольно-кассовых машин</t>
  </si>
  <si>
    <t>Страхование имущества</t>
  </si>
  <si>
    <t>Информационное обслуживание</t>
  </si>
  <si>
    <t>услуги гидрометеослужбы</t>
  </si>
  <si>
    <t>платежи за услуги эколог.служб</t>
  </si>
  <si>
    <t>страхование АГО</t>
  </si>
  <si>
    <t>услуги ГАИ тех.осмотр</t>
  </si>
  <si>
    <t>транспортный налог</t>
  </si>
  <si>
    <t>командировочные расходы</t>
  </si>
  <si>
    <t>подготовка кадров</t>
  </si>
  <si>
    <t>канцелярские расходы</t>
  </si>
  <si>
    <t>почтово-телеграфные расходы</t>
  </si>
  <si>
    <t>бланочная продукция</t>
  </si>
  <si>
    <t>подписка на периодическую печать</t>
  </si>
  <si>
    <t>содержание здания</t>
  </si>
  <si>
    <t>Услуги гос.лабораторий, в том числе</t>
  </si>
  <si>
    <t xml:space="preserve">  поверку приборов</t>
  </si>
  <si>
    <t xml:space="preserve">  экологический контроль и пром выбросы</t>
  </si>
  <si>
    <t xml:space="preserve">  инструментальные исследования</t>
  </si>
  <si>
    <t>Охрана труда, в том числе</t>
  </si>
  <si>
    <t xml:space="preserve">  медосмотр</t>
  </si>
  <si>
    <t xml:space="preserve">  перезарядка огнетушителя</t>
  </si>
  <si>
    <t xml:space="preserve">  медикаменты</t>
  </si>
  <si>
    <t xml:space="preserve">  спецпитание</t>
  </si>
  <si>
    <t xml:space="preserve">  моющие средства</t>
  </si>
  <si>
    <t xml:space="preserve">  приобретение плакатов</t>
  </si>
  <si>
    <t>Налог на имущество</t>
  </si>
  <si>
    <t>Общесистемные ( вчисле общесистемных по столбцу в таб.1)</t>
  </si>
  <si>
    <t>ИТОГО затрат</t>
  </si>
  <si>
    <t>Прибыль</t>
  </si>
  <si>
    <t>НВВ</t>
  </si>
  <si>
    <t>ТАРИФ 2008 год</t>
  </si>
  <si>
    <t>рост %</t>
  </si>
  <si>
    <t>ТАРИФ 2009 год</t>
  </si>
  <si>
    <r>
      <t>Кол-во топлива тон угля/газа (тонн/м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</si>
  <si>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Топливная составляющая</t>
  </si>
  <si>
    <t>Общеэксплуатационные</t>
  </si>
  <si>
    <t>Охрана труда</t>
  </si>
  <si>
    <t>Прочие расходы, в том числе</t>
  </si>
  <si>
    <t>Статьи затрат</t>
  </si>
  <si>
    <t>Затраты на производство и распределение тепловой энергии, руб. (без уч. НДС)</t>
  </si>
  <si>
    <t>на 1 Гкал</t>
  </si>
  <si>
    <t>Тариф</t>
  </si>
  <si>
    <t>Доход</t>
  </si>
  <si>
    <t>Тариф по котельным с. Майма</t>
  </si>
  <si>
    <t>Себестоимость 1 Гкал</t>
  </si>
  <si>
    <t>Рост тарифа</t>
  </si>
  <si>
    <t>Инвестиционная составляющая</t>
  </si>
  <si>
    <t>кредит</t>
  </si>
  <si>
    <t>% по кредиту</t>
  </si>
  <si>
    <t>Надбавка к тарифу с % по кредиту</t>
  </si>
  <si>
    <t>Надбавка к тарифу без % по кредиту</t>
  </si>
  <si>
    <t>Тариф с учетом инвестиционной составляющей</t>
  </si>
  <si>
    <t>% роста тарифа</t>
  </si>
  <si>
    <t>Срок окупаемости, лет</t>
  </si>
  <si>
    <t>№ п.п.</t>
  </si>
  <si>
    <t>кот1</t>
  </si>
  <si>
    <t xml:space="preserve">2009 год </t>
  </si>
  <si>
    <t>Услуги производственного характера</t>
  </si>
  <si>
    <t xml:space="preserve">Амортизация </t>
  </si>
  <si>
    <t>% роста тарифа с уч. инвест. сост-ей</t>
  </si>
  <si>
    <t xml:space="preserve">Тариф по котельным с. Майма </t>
  </si>
  <si>
    <t>услуги производственного характера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</si>
  <si>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</si>
  <si>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</si>
  <si>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</si>
  <si>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</si>
  <si>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</si>
  <si>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</si>
  <si>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</si>
  <si>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</si>
  <si>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</si>
  <si>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</si>
  <si>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</si>
  <si>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</si>
  <si>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</si>
  <si>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</si>
  <si>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</si>
  <si>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</si>
  <si>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</si>
  <si>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Приложение №7</t>
  </si>
  <si>
    <t>Налог на прибыль</t>
  </si>
  <si>
    <t>Выплаты из прибыли</t>
  </si>
  <si>
    <t>налог на прибыль</t>
  </si>
  <si>
    <t>Расчет роста тарифа на тепловую энергию на период реализации инвестиционной программы МУП «Тепло» (кот. №2, 3, 4, 20, 12, 22, 23) на 2010-2014 гг.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</si>
</sst>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0"/>
    <numFmt numFmtId="177" formatCode="0.0%"/>
    <numFmt numFmtId="178" formatCode="#,##0.0000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18" applyNumberFormat="1" applyFont="1" applyFill="1" applyBorder="1" applyAlignment="1" applyProtection="1">
      <alignment vertical="top"/>
      <protection/>
    </xf>
    <xf numFmtId="0" fontId="2" fillId="2" borderId="0" xfId="18" applyNumberFormat="1" applyFont="1" applyFill="1" applyBorder="1" applyAlignment="1" applyProtection="1">
      <alignment vertical="top"/>
      <protection/>
    </xf>
    <xf numFmtId="0" fontId="2" fillId="0" borderId="2" xfId="18" applyNumberFormat="1" applyFont="1" applyFill="1" applyBorder="1" applyAlignment="1" applyProtection="1">
      <alignment horizontal="center" vertical="top"/>
      <protection/>
    </xf>
    <xf numFmtId="0" fontId="7" fillId="0" borderId="3" xfId="18" applyNumberFormat="1" applyFont="1" applyFill="1" applyBorder="1" applyAlignment="1" applyProtection="1">
      <alignment horizontal="center" vertical="top"/>
      <protection/>
    </xf>
    <xf numFmtId="0" fontId="7" fillId="2" borderId="3" xfId="18" applyNumberFormat="1" applyFont="1" applyFill="1" applyBorder="1" applyAlignment="1" applyProtection="1">
      <alignment horizontal="center" vertical="top"/>
      <protection/>
    </xf>
    <xf numFmtId="0" fontId="2" fillId="0" borderId="3" xfId="18" applyNumberFormat="1" applyFont="1" applyFill="1" applyBorder="1" applyAlignment="1" applyProtection="1">
      <alignment horizontal="center" vertical="top"/>
      <protection/>
    </xf>
    <xf numFmtId="0" fontId="2" fillId="0" borderId="4" xfId="18" applyNumberFormat="1" applyFont="1" applyFill="1" applyBorder="1" applyAlignment="1" applyProtection="1">
      <alignment horizontal="center" vertical="top"/>
      <protection/>
    </xf>
    <xf numFmtId="0" fontId="2" fillId="0" borderId="0" xfId="18" applyNumberFormat="1" applyFont="1" applyFill="1" applyBorder="1" applyAlignment="1" applyProtection="1">
      <alignment horizontal="center" vertical="top"/>
      <protection/>
    </xf>
    <xf numFmtId="0" fontId="7" fillId="0" borderId="5" xfId="18" applyNumberFormat="1" applyFont="1" applyFill="1" applyBorder="1" applyAlignment="1" applyProtection="1">
      <alignment vertical="top"/>
      <protection/>
    </xf>
    <xf numFmtId="4" fontId="7" fillId="0" borderId="1" xfId="18" applyNumberFormat="1" applyFont="1" applyFill="1" applyBorder="1" applyAlignment="1" applyProtection="1">
      <alignment vertical="top"/>
      <protection/>
    </xf>
    <xf numFmtId="4" fontId="7" fillId="2" borderId="1" xfId="18" applyNumberFormat="1" applyFont="1" applyFill="1" applyBorder="1" applyAlignment="1" applyProtection="1">
      <alignment vertical="top"/>
      <protection/>
    </xf>
    <xf numFmtId="4" fontId="7" fillId="0" borderId="6" xfId="18" applyNumberFormat="1" applyFont="1" applyFill="1" applyBorder="1" applyAlignment="1" applyProtection="1">
      <alignment vertical="top"/>
      <protection/>
    </xf>
    <xf numFmtId="4" fontId="7" fillId="0" borderId="0" xfId="18" applyNumberFormat="1" applyFont="1" applyFill="1" applyBorder="1" applyAlignment="1" applyProtection="1">
      <alignment vertical="top"/>
      <protection/>
    </xf>
    <xf numFmtId="4" fontId="7" fillId="0" borderId="5" xfId="18" applyNumberFormat="1" applyFont="1" applyFill="1" applyBorder="1" applyAlignment="1" applyProtection="1">
      <alignment vertical="top"/>
      <protection/>
    </xf>
    <xf numFmtId="0" fontId="7" fillId="0" borderId="0" xfId="18" applyNumberFormat="1" applyFont="1" applyFill="1" applyBorder="1" applyAlignment="1" applyProtection="1">
      <alignment vertical="top"/>
      <protection/>
    </xf>
    <xf numFmtId="0" fontId="2" fillId="0" borderId="5" xfId="18" applyNumberFormat="1" applyFont="1" applyFill="1" applyBorder="1" applyAlignment="1" applyProtection="1">
      <alignment vertical="top"/>
      <protection/>
    </xf>
    <xf numFmtId="4" fontId="2" fillId="0" borderId="1" xfId="18" applyNumberFormat="1" applyFont="1" applyFill="1" applyBorder="1" applyAlignment="1" applyProtection="1">
      <alignment vertical="top"/>
      <protection/>
    </xf>
    <xf numFmtId="4" fontId="2" fillId="2" borderId="1" xfId="18" applyNumberFormat="1" applyFont="1" applyFill="1" applyBorder="1" applyAlignment="1" applyProtection="1">
      <alignment vertical="top"/>
      <protection/>
    </xf>
    <xf numFmtId="4" fontId="2" fillId="0" borderId="6" xfId="18" applyNumberFormat="1" applyFont="1" applyFill="1" applyBorder="1" applyAlignment="1" applyProtection="1">
      <alignment vertical="top"/>
      <protection/>
    </xf>
    <xf numFmtId="4" fontId="2" fillId="0" borderId="0" xfId="18" applyNumberFormat="1" applyFont="1" applyFill="1" applyBorder="1" applyAlignment="1" applyProtection="1">
      <alignment vertical="top"/>
      <protection/>
    </xf>
    <xf numFmtId="4" fontId="2" fillId="0" borderId="5" xfId="18" applyNumberFormat="1" applyFont="1" applyFill="1" applyBorder="1" applyAlignment="1" applyProtection="1">
      <alignment vertical="top"/>
      <protection/>
    </xf>
    <xf numFmtId="3" fontId="7" fillId="2" borderId="1" xfId="18" applyNumberFormat="1" applyFont="1" applyFill="1" applyBorder="1" applyAlignment="1" applyProtection="1">
      <alignment vertical="top"/>
      <protection/>
    </xf>
    <xf numFmtId="0" fontId="2" fillId="0" borderId="1" xfId="18" applyNumberFormat="1" applyFont="1" applyFill="1" applyBorder="1" applyAlignment="1" applyProtection="1">
      <alignment vertical="top"/>
      <protection/>
    </xf>
    <xf numFmtId="0" fontId="2" fillId="0" borderId="6" xfId="18" applyNumberFormat="1" applyFont="1" applyFill="1" applyBorder="1" applyAlignment="1" applyProtection="1">
      <alignment vertical="top"/>
      <protection/>
    </xf>
    <xf numFmtId="0" fontId="9" fillId="0" borderId="5" xfId="18" applyNumberFormat="1" applyFont="1" applyFill="1" applyBorder="1" applyAlignment="1" applyProtection="1">
      <alignment vertical="top"/>
      <protection/>
    </xf>
    <xf numFmtId="4" fontId="9" fillId="0" borderId="1" xfId="18" applyNumberFormat="1" applyFont="1" applyFill="1" applyBorder="1" applyAlignment="1" applyProtection="1">
      <alignment vertical="top"/>
      <protection/>
    </xf>
    <xf numFmtId="4" fontId="9" fillId="2" borderId="1" xfId="18" applyNumberFormat="1" applyFont="1" applyFill="1" applyBorder="1" applyAlignment="1" applyProtection="1">
      <alignment vertical="top"/>
      <protection/>
    </xf>
    <xf numFmtId="4" fontId="9" fillId="0" borderId="6" xfId="18" applyNumberFormat="1" applyFont="1" applyFill="1" applyBorder="1" applyAlignment="1" applyProtection="1">
      <alignment vertical="top"/>
      <protection/>
    </xf>
    <xf numFmtId="4" fontId="9" fillId="0" borderId="0" xfId="18" applyNumberFormat="1" applyFont="1" applyFill="1" applyBorder="1" applyAlignment="1" applyProtection="1">
      <alignment vertical="top"/>
      <protection/>
    </xf>
    <xf numFmtId="4" fontId="9" fillId="0" borderId="5" xfId="18" applyNumberFormat="1" applyFont="1" applyFill="1" applyBorder="1" applyAlignment="1" applyProtection="1">
      <alignment vertical="top"/>
      <protection/>
    </xf>
    <xf numFmtId="0" fontId="9" fillId="0" borderId="0" xfId="18" applyNumberFormat="1" applyFont="1" applyFill="1" applyBorder="1" applyAlignment="1" applyProtection="1">
      <alignment vertical="top"/>
      <protection/>
    </xf>
    <xf numFmtId="4" fontId="10" fillId="0" borderId="1" xfId="18" applyNumberFormat="1" applyFont="1" applyFill="1" applyBorder="1" applyAlignment="1" applyProtection="1">
      <alignment vertical="top"/>
      <protection/>
    </xf>
    <xf numFmtId="4" fontId="10" fillId="2" borderId="1" xfId="18" applyNumberFormat="1" applyFont="1" applyFill="1" applyBorder="1" applyAlignment="1" applyProtection="1">
      <alignment vertical="top"/>
      <protection/>
    </xf>
    <xf numFmtId="4" fontId="10" fillId="0" borderId="6" xfId="18" applyNumberFormat="1" applyFont="1" applyFill="1" applyBorder="1" applyAlignment="1" applyProtection="1">
      <alignment vertical="top"/>
      <protection/>
    </xf>
    <xf numFmtId="4" fontId="10" fillId="0" borderId="0" xfId="18" applyNumberFormat="1" applyFont="1" applyFill="1" applyBorder="1" applyAlignment="1" applyProtection="1">
      <alignment vertical="top"/>
      <protection/>
    </xf>
    <xf numFmtId="4" fontId="10" fillId="0" borderId="5" xfId="18" applyNumberFormat="1" applyFont="1" applyFill="1" applyBorder="1" applyAlignment="1" applyProtection="1">
      <alignment vertical="top"/>
      <protection/>
    </xf>
    <xf numFmtId="0" fontId="10" fillId="0" borderId="0" xfId="18" applyNumberFormat="1" applyFont="1" applyFill="1" applyBorder="1" applyAlignment="1" applyProtection="1">
      <alignment vertical="top"/>
      <protection/>
    </xf>
    <xf numFmtId="3" fontId="9" fillId="0" borderId="1" xfId="18" applyNumberFormat="1" applyFont="1" applyFill="1" applyBorder="1" applyAlignment="1" applyProtection="1">
      <alignment vertical="top"/>
      <protection/>
    </xf>
    <xf numFmtId="0" fontId="10" fillId="0" borderId="5" xfId="18" applyNumberFormat="1" applyFont="1" applyFill="1" applyBorder="1" applyAlignment="1" applyProtection="1">
      <alignment vertical="top"/>
      <protection/>
    </xf>
    <xf numFmtId="0" fontId="10" fillId="0" borderId="5" xfId="18" applyNumberFormat="1" applyFont="1" applyFill="1" applyBorder="1" applyAlignment="1" applyProtection="1">
      <alignment horizontal="left" vertical="top"/>
      <protection/>
    </xf>
    <xf numFmtId="0" fontId="10" fillId="0" borderId="1" xfId="18" applyNumberFormat="1" applyFont="1" applyFill="1" applyBorder="1" applyAlignment="1" applyProtection="1">
      <alignment vertical="top"/>
      <protection/>
    </xf>
    <xf numFmtId="0" fontId="10" fillId="0" borderId="6" xfId="18" applyNumberFormat="1" applyFont="1" applyFill="1" applyBorder="1" applyAlignment="1" applyProtection="1">
      <alignment vertical="top"/>
      <protection/>
    </xf>
    <xf numFmtId="0" fontId="7" fillId="0" borderId="5" xfId="18" applyNumberFormat="1" applyFont="1" applyFill="1" applyBorder="1" applyAlignment="1" applyProtection="1">
      <alignment horizontal="left" vertical="top"/>
      <protection/>
    </xf>
    <xf numFmtId="0" fontId="7" fillId="2" borderId="1" xfId="18" applyNumberFormat="1" applyFont="1" applyFill="1" applyBorder="1" applyAlignment="1" applyProtection="1">
      <alignment vertical="top"/>
      <protection/>
    </xf>
    <xf numFmtId="0" fontId="7" fillId="0" borderId="1" xfId="18" applyNumberFormat="1" applyFont="1" applyFill="1" applyBorder="1" applyAlignment="1" applyProtection="1">
      <alignment vertical="top"/>
      <protection/>
    </xf>
    <xf numFmtId="0" fontId="7" fillId="0" borderId="6" xfId="18" applyNumberFormat="1" applyFont="1" applyFill="1" applyBorder="1" applyAlignment="1" applyProtection="1">
      <alignment vertical="top"/>
      <protection/>
    </xf>
    <xf numFmtId="0" fontId="2" fillId="2" borderId="1" xfId="18" applyNumberFormat="1" applyFont="1" applyFill="1" applyBorder="1" applyAlignment="1" applyProtection="1">
      <alignment vertical="top"/>
      <protection/>
    </xf>
    <xf numFmtId="0" fontId="2" fillId="0" borderId="5" xfId="18" applyNumberFormat="1" applyFont="1" applyFill="1" applyBorder="1" applyAlignment="1" applyProtection="1">
      <alignment horizontal="left" vertical="top"/>
      <protection/>
    </xf>
    <xf numFmtId="0" fontId="2" fillId="0" borderId="7" xfId="18" applyNumberFormat="1" applyFont="1" applyFill="1" applyBorder="1" applyAlignment="1" applyProtection="1">
      <alignment horizontal="left" vertical="top"/>
      <protection/>
    </xf>
    <xf numFmtId="4" fontId="2" fillId="0" borderId="8" xfId="18" applyNumberFormat="1" applyFont="1" applyFill="1" applyBorder="1" applyAlignment="1" applyProtection="1">
      <alignment vertical="top"/>
      <protection/>
    </xf>
    <xf numFmtId="0" fontId="2" fillId="0" borderId="8" xfId="18" applyNumberFormat="1" applyFont="1" applyFill="1" applyBorder="1" applyAlignment="1" applyProtection="1">
      <alignment vertical="top"/>
      <protection/>
    </xf>
    <xf numFmtId="0" fontId="2" fillId="2" borderId="8" xfId="18" applyNumberFormat="1" applyFont="1" applyFill="1" applyBorder="1" applyAlignment="1" applyProtection="1">
      <alignment vertical="top"/>
      <protection/>
    </xf>
    <xf numFmtId="0" fontId="2" fillId="0" borderId="9" xfId="18" applyNumberFormat="1" applyFont="1" applyFill="1" applyBorder="1" applyAlignment="1" applyProtection="1">
      <alignment vertical="top"/>
      <protection/>
    </xf>
    <xf numFmtId="4" fontId="2" fillId="0" borderId="7" xfId="18" applyNumberFormat="1" applyFont="1" applyFill="1" applyBorder="1" applyAlignment="1" applyProtection="1">
      <alignment vertical="top"/>
      <protection/>
    </xf>
    <xf numFmtId="0" fontId="7" fillId="0" borderId="2" xfId="18" applyNumberFormat="1" applyFont="1" applyFill="1" applyBorder="1" applyAlignment="1" applyProtection="1">
      <alignment vertical="top"/>
      <protection/>
    </xf>
    <xf numFmtId="4" fontId="7" fillId="0" borderId="3" xfId="18" applyNumberFormat="1" applyFont="1" applyFill="1" applyBorder="1" applyAlignment="1" applyProtection="1">
      <alignment vertical="top"/>
      <protection/>
    </xf>
    <xf numFmtId="4" fontId="7" fillId="2" borderId="3" xfId="18" applyNumberFormat="1" applyFont="1" applyFill="1" applyBorder="1" applyAlignment="1" applyProtection="1">
      <alignment vertical="top"/>
      <protection/>
    </xf>
    <xf numFmtId="4" fontId="7" fillId="0" borderId="4" xfId="18" applyNumberFormat="1" applyFont="1" applyFill="1" applyBorder="1" applyAlignment="1" applyProtection="1">
      <alignment vertical="top"/>
      <protection/>
    </xf>
    <xf numFmtId="4" fontId="7" fillId="0" borderId="2" xfId="18" applyNumberFormat="1" applyFont="1" applyFill="1" applyBorder="1" applyAlignment="1" applyProtection="1">
      <alignment vertical="top"/>
      <protection/>
    </xf>
    <xf numFmtId="2" fontId="2" fillId="0" borderId="5" xfId="18" applyNumberFormat="1" applyFont="1" applyFill="1" applyBorder="1" applyAlignment="1" applyProtection="1">
      <alignment vertical="top"/>
      <protection/>
    </xf>
    <xf numFmtId="2" fontId="2" fillId="0" borderId="1" xfId="18" applyNumberFormat="1" applyFont="1" applyFill="1" applyBorder="1" applyAlignment="1" applyProtection="1">
      <alignment vertical="top"/>
      <protection/>
    </xf>
    <xf numFmtId="168" fontId="2" fillId="0" borderId="6" xfId="18" applyNumberFormat="1" applyFont="1" applyFill="1" applyBorder="1" applyAlignment="1" applyProtection="1">
      <alignment vertical="top"/>
      <protection/>
    </xf>
    <xf numFmtId="4" fontId="7" fillId="0" borderId="10" xfId="18" applyNumberFormat="1" applyFont="1" applyFill="1" applyBorder="1" applyAlignment="1" applyProtection="1">
      <alignment vertical="top"/>
      <protection/>
    </xf>
    <xf numFmtId="4" fontId="7" fillId="0" borderId="11" xfId="18" applyNumberFormat="1" applyFont="1" applyFill="1" applyBorder="1" applyAlignment="1" applyProtection="1">
      <alignment vertical="top"/>
      <protection/>
    </xf>
    <xf numFmtId="4" fontId="7" fillId="2" borderId="11" xfId="18" applyNumberFormat="1" applyFont="1" applyFill="1" applyBorder="1" applyAlignment="1" applyProtection="1">
      <alignment vertical="top"/>
      <protection/>
    </xf>
    <xf numFmtId="4" fontId="7" fillId="0" borderId="12" xfId="18" applyNumberFormat="1" applyFont="1" applyFill="1" applyBorder="1" applyAlignment="1" applyProtection="1">
      <alignment vertical="top"/>
      <protection/>
    </xf>
    <xf numFmtId="4" fontId="2" fillId="2" borderId="0" xfId="18" applyNumberFormat="1" applyFont="1" applyFill="1" applyBorder="1" applyAlignment="1" applyProtection="1">
      <alignment vertical="top"/>
      <protection/>
    </xf>
    <xf numFmtId="175" fontId="2" fillId="0" borderId="0" xfId="18" applyNumberFormat="1" applyFont="1" applyFill="1" applyBorder="1" applyAlignment="1" applyProtection="1">
      <alignment vertical="top"/>
      <protection/>
    </xf>
    <xf numFmtId="178" fontId="2" fillId="0" borderId="0" xfId="18" applyNumberFormat="1" applyFont="1" applyFill="1" applyBorder="1" applyAlignment="1" applyProtection="1">
      <alignment vertical="top"/>
      <protection/>
    </xf>
    <xf numFmtId="175" fontId="2" fillId="2" borderId="0" xfId="18" applyNumberFormat="1" applyFont="1" applyFill="1" applyBorder="1" applyAlignment="1" applyProtection="1">
      <alignment vertical="top"/>
      <protection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2" fontId="2" fillId="0" borderId="0" xfId="18" applyNumberFormat="1" applyFont="1" applyFill="1" applyBorder="1" applyAlignment="1" applyProtection="1">
      <alignment vertical="top"/>
      <protection/>
    </xf>
    <xf numFmtId="4" fontId="2" fillId="0" borderId="1" xfId="0" applyNumberFormat="1" applyFont="1" applyBorder="1" applyAlignment="1">
      <alignment/>
    </xf>
    <xf numFmtId="4" fontId="7" fillId="0" borderId="1" xfId="18" applyNumberFormat="1" applyFont="1" applyFill="1" applyBorder="1" applyAlignment="1" applyProtection="1">
      <alignment horizontal="right" vertical="top"/>
      <protection/>
    </xf>
    <xf numFmtId="4" fontId="2" fillId="0" borderId="1" xfId="18" applyNumberFormat="1" applyFont="1" applyFill="1" applyBorder="1" applyAlignment="1" applyProtection="1">
      <alignment horizontal="right" vertical="top"/>
      <protection/>
    </xf>
    <xf numFmtId="4" fontId="2" fillId="0" borderId="1" xfId="18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7" fillId="0" borderId="1" xfId="0" applyNumberFormat="1" applyFont="1" applyBorder="1" applyAlignment="1">
      <alignment/>
    </xf>
    <xf numFmtId="4" fontId="2" fillId="0" borderId="0" xfId="18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Alignment="1">
      <alignment/>
    </xf>
    <xf numFmtId="4" fontId="2" fillId="0" borderId="1" xfId="18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7" fillId="0" borderId="1" xfId="18" applyNumberFormat="1" applyFont="1" applyFill="1" applyBorder="1" applyAlignment="1" applyProtection="1">
      <alignment vertical="top" wrapText="1"/>
      <protection/>
    </xf>
    <xf numFmtId="4" fontId="2" fillId="0" borderId="1" xfId="18" applyNumberFormat="1" applyFont="1" applyFill="1" applyBorder="1" applyAlignment="1" applyProtection="1">
      <alignment horizontal="left" vertical="top" wrapText="1"/>
      <protection/>
    </xf>
    <xf numFmtId="4" fontId="9" fillId="0" borderId="0" xfId="0" applyNumberFormat="1" applyFont="1" applyAlignment="1">
      <alignment/>
    </xf>
    <xf numFmtId="4" fontId="2" fillId="0" borderId="0" xfId="18" applyNumberFormat="1" applyFont="1" applyFill="1" applyBorder="1" applyAlignment="1" applyProtection="1">
      <alignment vertical="top" wrapText="1"/>
      <protection/>
    </xf>
    <xf numFmtId="9" fontId="2" fillId="0" borderId="0" xfId="2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" fillId="0" borderId="0" xfId="20" applyNumberFormat="1" applyFont="1" applyAlignment="1">
      <alignment/>
    </xf>
    <xf numFmtId="4" fontId="9" fillId="0" borderId="1" xfId="0" applyNumberFormat="1" applyFont="1" applyBorder="1" applyAlignment="1">
      <alignment horizontal="right"/>
    </xf>
    <xf numFmtId="4" fontId="9" fillId="0" borderId="1" xfId="18" applyNumberFormat="1" applyFont="1" applyFill="1" applyBorder="1" applyAlignment="1" applyProtection="1">
      <alignment vertical="top" wrapText="1"/>
      <protection/>
    </xf>
    <xf numFmtId="4" fontId="9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11" fillId="0" borderId="1" xfId="18" applyNumberFormat="1" applyFont="1" applyFill="1" applyBorder="1" applyAlignment="1" applyProtection="1">
      <alignment vertical="top" wrapText="1"/>
      <protection/>
    </xf>
    <xf numFmtId="4" fontId="11" fillId="0" borderId="1" xfId="0" applyNumberFormat="1" applyFont="1" applyBorder="1" applyAlignment="1">
      <alignment/>
    </xf>
    <xf numFmtId="4" fontId="2" fillId="0" borderId="1" xfId="18" applyNumberFormat="1" applyFont="1" applyFill="1" applyBorder="1" applyAlignment="1" applyProtection="1">
      <alignment horizontal="center" vertical="top" wrapText="1"/>
      <protection/>
    </xf>
    <xf numFmtId="9" fontId="2" fillId="0" borderId="1" xfId="20" applyFont="1" applyFill="1" applyBorder="1" applyAlignment="1" applyProtection="1">
      <alignment vertical="top" wrapText="1"/>
      <protection/>
    </xf>
    <xf numFmtId="9" fontId="2" fillId="0" borderId="1" xfId="20" applyFont="1" applyBorder="1" applyAlignment="1">
      <alignment/>
    </xf>
    <xf numFmtId="177" fontId="2" fillId="0" borderId="1" xfId="20" applyNumberFormat="1" applyFont="1" applyBorder="1" applyAlignment="1">
      <alignment/>
    </xf>
    <xf numFmtId="175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2" fillId="0" borderId="1" xfId="20" applyNumberFormat="1" applyFont="1" applyBorder="1" applyAlignment="1">
      <alignment/>
    </xf>
    <xf numFmtId="4" fontId="2" fillId="0" borderId="14" xfId="18" applyNumberFormat="1" applyFont="1" applyFill="1" applyBorder="1" applyAlignment="1" applyProtection="1">
      <alignment vertical="top"/>
      <protection/>
    </xf>
    <xf numFmtId="0" fontId="2" fillId="0" borderId="14" xfId="18" applyNumberFormat="1" applyFont="1" applyFill="1" applyBorder="1" applyAlignment="1" applyProtection="1">
      <alignment vertical="top"/>
      <protection/>
    </xf>
    <xf numFmtId="49" fontId="2" fillId="0" borderId="1" xfId="0" applyNumberFormat="1" applyFont="1" applyBorder="1" applyAlignment="1">
      <alignment horizontal="right"/>
    </xf>
    <xf numFmtId="4" fontId="7" fillId="0" borderId="1" xfId="18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8" xfId="18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МУП ЖКХ Майма-2009 сводная для анализа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st\&#1056;&#1072;&#1073;&#1086;&#1095;&#1080;&#1081;%20&#1089;&#1090;&#1086;&#1083;\&#1050;&#1088;&#1077;&#1076;&#1080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4;&#1073;&#1097;&#1072;&#1103;\&#1058;&#1040;&#1056;&#1048;&#1060;&#1067;\2010%20&#1075;&#1086;&#1076;\&#1052;&#1059;&#1055;_&#1042;&#1086;&#1076;&#1086;&#1082;&#1072;&#1085;&#1072;&#1083;_&#1052;&#1072;&#1081;&#1084;&#1072;-2010_2&#1074;&#1072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4;&#1073;&#1097;&#1072;&#1103;\&#1048;&#1085;&#1074;&#1077;&#1089;&#1090;&#1080;&#1094;&#1080;&#1086;&#1085;&#1085;&#1072;&#1103;%20&#1087;&#1088;&#1086;&#1075;&#1088;&#1072;&#1084;&#1072;\&#1048;&#1079;&#1084;&#1077;&#1085;&#1077;&#1085;&#1080;&#1077;%20&#1080;&#1085;&#1074;&#1077;&#1089;&#1090;&#1080;&#1094;&#1080;&#1086;&#1085;&#1085;&#1086;&#1081;%20&#1087;&#1088;&#1075;&#1088;%20&#1085;&#1072;%202010-2014%20&#1075;&#1086;&#1076;&#1099;\&#1050;&#1088;&#1077;&#1076;&#1080;&#1090;%202011%20&#1075;&#1086;&#1076;%20(&#1085;&#1077;%20&#1087;&#1088;&#1086;&#1096;&#1083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 млн"/>
      <sheetName val="68 млн "/>
      <sheetName val="50 млн"/>
      <sheetName val="30 млн"/>
      <sheetName val="энергия"/>
      <sheetName val="Лист3"/>
    </sheetNames>
    <sheetDataSet>
      <sheetData sheetId="1">
        <row r="15">
          <cell r="I15">
            <v>25947430.158356164</v>
          </cell>
        </row>
        <row r="27">
          <cell r="I27">
            <v>23227430.958356164</v>
          </cell>
        </row>
        <row r="39">
          <cell r="I39">
            <v>20507431.75835616</v>
          </cell>
        </row>
        <row r="51">
          <cell r="I51">
            <v>17787432.558356166</v>
          </cell>
        </row>
        <row r="63">
          <cell r="I63">
            <v>15067453.358356167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Планово-расчетный тариф"/>
      <sheetName val="Расчет переменных затрат"/>
      <sheetName val="Постановление"/>
      <sheetName val="с газовой котельной"/>
      <sheetName val="конечный"/>
      <sheetName val="конечный (Настя)"/>
      <sheetName val="Экспертное заключение"/>
      <sheetName val="разбика по кот-ным и поселениям"/>
      <sheetName val="ср.тариф"/>
      <sheetName val="Лист1"/>
    </sheetNames>
    <sheetDataSet>
      <sheetData sheetId="9">
        <row r="4">
          <cell r="AG4">
            <v>37381.1</v>
          </cell>
        </row>
        <row r="5">
          <cell r="AG5">
            <v>1225.9999999999998</v>
          </cell>
        </row>
        <row r="6">
          <cell r="AG6">
            <v>10702.19</v>
          </cell>
        </row>
        <row r="7">
          <cell r="AG7">
            <v>49309.29</v>
          </cell>
        </row>
        <row r="14">
          <cell r="AG14">
            <v>21567285.53277214</v>
          </cell>
        </row>
        <row r="15">
          <cell r="AG15">
            <v>4698980.510424151</v>
          </cell>
        </row>
        <row r="17">
          <cell r="AG17">
            <v>597002.0480000001</v>
          </cell>
        </row>
        <row r="18">
          <cell r="AG18">
            <v>10982780.580000002</v>
          </cell>
        </row>
        <row r="19">
          <cell r="AG19">
            <v>2877488.5119600007</v>
          </cell>
        </row>
        <row r="20">
          <cell r="AG20">
            <v>1345380.5192803228</v>
          </cell>
        </row>
        <row r="21">
          <cell r="AG21">
            <v>352489.69605144457</v>
          </cell>
        </row>
        <row r="24">
          <cell r="AG24">
            <v>3359226.654606404</v>
          </cell>
        </row>
        <row r="25">
          <cell r="AG25">
            <v>880117.3835068778</v>
          </cell>
        </row>
        <row r="26">
          <cell r="AG26">
            <v>2360742.54</v>
          </cell>
        </row>
        <row r="35">
          <cell r="AG35">
            <v>2751875.5839385255</v>
          </cell>
        </row>
        <row r="47">
          <cell r="AG47">
            <v>1658766.8079019717</v>
          </cell>
        </row>
        <row r="70">
          <cell r="AG70">
            <v>126649.435</v>
          </cell>
        </row>
        <row r="74">
          <cell r="AU74">
            <v>324959.0457364829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процентов по кредиту"/>
      <sheetName val="топливная составляющая"/>
      <sheetName val="расчет тарифа"/>
      <sheetName val="расчет тарифа без уплаты проц"/>
    </sheetNames>
    <sheetDataSet>
      <sheetData sheetId="0">
        <row r="42">
          <cell r="F42">
            <v>4252833.2930000005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9"/>
  <sheetViews>
    <sheetView workbookViewId="0" topLeftCell="A1">
      <pane xSplit="4" ySplit="25" topLeftCell="E68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C15" sqref="C15"/>
    </sheetView>
  </sheetViews>
  <sheetFormatPr defaultColWidth="9.00390625" defaultRowHeight="12.75"/>
  <cols>
    <col min="1" max="1" width="51.125" style="8" bestFit="1" customWidth="1"/>
    <col min="2" max="2" width="13.625" style="8" customWidth="1"/>
    <col min="3" max="3" width="14.125" style="8" customWidth="1"/>
    <col min="4" max="4" width="12.25390625" style="9" bestFit="1" customWidth="1"/>
    <col min="5" max="5" width="15.875" style="8" customWidth="1"/>
    <col min="6" max="6" width="12.625" style="8" customWidth="1"/>
    <col min="7" max="7" width="14.125" style="8" customWidth="1"/>
    <col min="8" max="8" width="13.125" style="8" customWidth="1"/>
    <col min="9" max="9" width="12.125" style="8" customWidth="1"/>
    <col min="10" max="10" width="12.00390625" style="8" customWidth="1"/>
    <col min="11" max="11" width="12.75390625" style="8" bestFit="1" customWidth="1"/>
    <col min="12" max="12" width="12.375" style="8" customWidth="1"/>
    <col min="13" max="15" width="12.75390625" style="8" bestFit="1" customWidth="1"/>
    <col min="16" max="16" width="11.75390625" style="8" customWidth="1"/>
    <col min="17" max="17" width="9.125" style="8" customWidth="1"/>
    <col min="18" max="18" width="12.25390625" style="8" bestFit="1" customWidth="1"/>
    <col min="19" max="19" width="12.875" style="8" bestFit="1" customWidth="1"/>
    <col min="20" max="20" width="11.25390625" style="8" bestFit="1" customWidth="1"/>
    <col min="21" max="21" width="11.875" style="8" bestFit="1" customWidth="1"/>
    <col min="22" max="22" width="11.25390625" style="8" bestFit="1" customWidth="1"/>
    <col min="23" max="23" width="12.125" style="8" bestFit="1" customWidth="1"/>
    <col min="24" max="24" width="11.25390625" style="8" bestFit="1" customWidth="1"/>
    <col min="25" max="25" width="12.875" style="8" bestFit="1" customWidth="1"/>
    <col min="26" max="16384" width="9.125" style="8" customWidth="1"/>
  </cols>
  <sheetData>
    <row r="2" spans="15:25" ht="13.5" thickBot="1">
      <c r="O2" s="8" t="s">
        <v>13</v>
      </c>
      <c r="Y2" s="8" t="s">
        <v>14</v>
      </c>
    </row>
    <row r="3" spans="1:25" s="15" customFormat="1" ht="12.75">
      <c r="A3" s="10"/>
      <c r="B3" s="11" t="s">
        <v>15</v>
      </c>
      <c r="C3" s="11" t="s">
        <v>16</v>
      </c>
      <c r="D3" s="12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14" t="s">
        <v>28</v>
      </c>
      <c r="R3" s="10" t="s">
        <v>17</v>
      </c>
      <c r="S3" s="13" t="s">
        <v>29</v>
      </c>
      <c r="T3" s="13" t="s">
        <v>30</v>
      </c>
      <c r="U3" s="13" t="s">
        <v>31</v>
      </c>
      <c r="V3" s="13" t="s">
        <v>32</v>
      </c>
      <c r="W3" s="13" t="s">
        <v>33</v>
      </c>
      <c r="X3" s="13" t="s">
        <v>34</v>
      </c>
      <c r="Y3" s="14" t="s">
        <v>35</v>
      </c>
    </row>
    <row r="4" spans="1:25" s="22" customFormat="1" ht="12.75">
      <c r="A4" s="16" t="s">
        <v>36</v>
      </c>
      <c r="B4" s="17">
        <f>SUM(R4:S4)</f>
        <v>41874.47000000001</v>
      </c>
      <c r="C4" s="17"/>
      <c r="D4" s="18">
        <f>8061.58</f>
        <v>8061.58</v>
      </c>
      <c r="E4" s="17">
        <v>3697.18</v>
      </c>
      <c r="F4" s="17">
        <v>8029.69</v>
      </c>
      <c r="G4" s="17">
        <v>2315.6</v>
      </c>
      <c r="H4" s="17">
        <v>1353.37</v>
      </c>
      <c r="I4" s="17">
        <v>2230.36</v>
      </c>
      <c r="J4" s="17">
        <v>2247.17</v>
      </c>
      <c r="K4" s="17">
        <v>649</v>
      </c>
      <c r="L4" s="17">
        <v>5702.91</v>
      </c>
      <c r="M4" s="17">
        <v>1112.2</v>
      </c>
      <c r="N4" s="17">
        <v>2769.11</v>
      </c>
      <c r="O4" s="19">
        <v>3706.3</v>
      </c>
      <c r="P4" s="20"/>
      <c r="Q4" s="20"/>
      <c r="R4" s="21">
        <f aca="true" t="shared" si="0" ref="R4:R13">D4</f>
        <v>8061.58</v>
      </c>
      <c r="S4" s="17">
        <f aca="true" t="shared" si="1" ref="S4:S13">E4+F4+G4+H4+I4+J4+K4+L4+M4+N4+O4</f>
        <v>33812.89000000001</v>
      </c>
      <c r="T4" s="17" t="e">
        <f>#REF!</f>
        <v>#REF!</v>
      </c>
      <c r="U4" s="17" t="e">
        <f>#REF!</f>
        <v>#REF!</v>
      </c>
      <c r="V4" s="17" t="e">
        <f>#REF!</f>
        <v>#REF!</v>
      </c>
      <c r="W4" s="17" t="e">
        <f>#REF!</f>
        <v>#REF!</v>
      </c>
      <c r="X4" s="17" t="e">
        <f>#REF!</f>
        <v>#REF!</v>
      </c>
      <c r="Y4" s="19" t="e">
        <f aca="true" t="shared" si="2" ref="Y4:Y35">SUM(R4:X4)</f>
        <v>#REF!</v>
      </c>
    </row>
    <row r="5" spans="1:25" ht="12.75">
      <c r="A5" s="23" t="s">
        <v>37</v>
      </c>
      <c r="B5" s="24" t="e">
        <f>E5+F5+G5+H5+#REF!+I5+J5+#REF!+K5+L5+M5+#REF!+N5+#REF!+#REF!+O5+D5</f>
        <v>#REF!</v>
      </c>
      <c r="C5" s="17"/>
      <c r="D5" s="25">
        <v>234.18</v>
      </c>
      <c r="E5" s="24">
        <v>111.98</v>
      </c>
      <c r="F5" s="24">
        <v>240.83</v>
      </c>
      <c r="G5" s="24">
        <v>63.69</v>
      </c>
      <c r="H5" s="24">
        <v>36.78</v>
      </c>
      <c r="I5" s="24">
        <v>69.27</v>
      </c>
      <c r="J5" s="24">
        <v>58.9</v>
      </c>
      <c r="K5" s="24">
        <v>24.11</v>
      </c>
      <c r="L5" s="24">
        <v>177.81</v>
      </c>
      <c r="M5" s="24">
        <v>29.03</v>
      </c>
      <c r="N5" s="24">
        <v>88.13</v>
      </c>
      <c r="O5" s="26">
        <v>103.88</v>
      </c>
      <c r="P5" s="27"/>
      <c r="Q5" s="27"/>
      <c r="R5" s="28">
        <f t="shared" si="0"/>
        <v>234.18</v>
      </c>
      <c r="S5" s="24">
        <f t="shared" si="1"/>
        <v>1004.4099999999999</v>
      </c>
      <c r="T5" s="24" t="e">
        <f>#REF!</f>
        <v>#REF!</v>
      </c>
      <c r="U5" s="24" t="e">
        <f>#REF!</f>
        <v>#REF!</v>
      </c>
      <c r="V5" s="24" t="e">
        <f>#REF!</f>
        <v>#REF!</v>
      </c>
      <c r="W5" s="24" t="e">
        <f>#REF!</f>
        <v>#REF!</v>
      </c>
      <c r="X5" s="24" t="e">
        <f>#REF!</f>
        <v>#REF!</v>
      </c>
      <c r="Y5" s="26" t="e">
        <f t="shared" si="2"/>
        <v>#REF!</v>
      </c>
    </row>
    <row r="6" spans="1:25" ht="12.75">
      <c r="A6" s="23" t="s">
        <v>38</v>
      </c>
      <c r="B6" s="24" t="e">
        <f>E6+F6+G6+H6+#REF!+I6+J6+#REF!+K6+L6+M6+#REF!+N6+#REF!+#REF!+O6+D6</f>
        <v>#REF!</v>
      </c>
      <c r="C6" s="17"/>
      <c r="D6" s="25">
        <v>1695.85</v>
      </c>
      <c r="E6" s="24">
        <v>968.58</v>
      </c>
      <c r="F6" s="24">
        <v>2004.7</v>
      </c>
      <c r="G6" s="24">
        <v>338.09</v>
      </c>
      <c r="H6" s="24">
        <v>179.03</v>
      </c>
      <c r="I6" s="24">
        <v>655.7</v>
      </c>
      <c r="J6" s="24">
        <v>207.04</v>
      </c>
      <c r="K6" s="24">
        <v>355.65</v>
      </c>
      <c r="L6" s="24">
        <v>1705.79</v>
      </c>
      <c r="M6" s="24">
        <v>97.45</v>
      </c>
      <c r="N6" s="24">
        <v>903.01</v>
      </c>
      <c r="O6" s="26">
        <v>621.83</v>
      </c>
      <c r="P6" s="27"/>
      <c r="Q6" s="27"/>
      <c r="R6" s="28">
        <f t="shared" si="0"/>
        <v>1695.85</v>
      </c>
      <c r="S6" s="24">
        <f t="shared" si="1"/>
        <v>8036.87</v>
      </c>
      <c r="T6" s="24" t="e">
        <f>#REF!</f>
        <v>#REF!</v>
      </c>
      <c r="U6" s="24" t="e">
        <f>#REF!</f>
        <v>#REF!</v>
      </c>
      <c r="V6" s="24" t="e">
        <f>#REF!</f>
        <v>#REF!</v>
      </c>
      <c r="W6" s="24" t="e">
        <f>#REF!</f>
        <v>#REF!</v>
      </c>
      <c r="X6" s="24" t="e">
        <f>#REF!</f>
        <v>#REF!</v>
      </c>
      <c r="Y6" s="26" t="e">
        <f t="shared" si="2"/>
        <v>#REF!</v>
      </c>
    </row>
    <row r="7" spans="1:25" s="22" customFormat="1" ht="12.75">
      <c r="A7" s="16" t="s">
        <v>39</v>
      </c>
      <c r="B7" s="17" t="e">
        <f>E7+F7+G7+H7+#REF!+I7+J7+#REF!+K7+L7+M7+#REF!+N7+#REF!+#REF!+O7+D7</f>
        <v>#REF!</v>
      </c>
      <c r="C7" s="17"/>
      <c r="D7" s="18">
        <f aca="true" t="shared" si="3" ref="D7:O7">D6+D5+D4</f>
        <v>9991.61</v>
      </c>
      <c r="E7" s="17">
        <f t="shared" si="3"/>
        <v>4777.74</v>
      </c>
      <c r="F7" s="17">
        <f t="shared" si="3"/>
        <v>10275.22</v>
      </c>
      <c r="G7" s="17">
        <f t="shared" si="3"/>
        <v>2717.38</v>
      </c>
      <c r="H7" s="17">
        <f t="shared" si="3"/>
        <v>1569.1799999999998</v>
      </c>
      <c r="I7" s="17">
        <f t="shared" si="3"/>
        <v>2955.33</v>
      </c>
      <c r="J7" s="17">
        <f t="shared" si="3"/>
        <v>2513.11</v>
      </c>
      <c r="K7" s="17">
        <f t="shared" si="3"/>
        <v>1028.76</v>
      </c>
      <c r="L7" s="17">
        <f t="shared" si="3"/>
        <v>7586.51</v>
      </c>
      <c r="M7" s="17">
        <f t="shared" si="3"/>
        <v>1238.68</v>
      </c>
      <c r="N7" s="17">
        <f t="shared" si="3"/>
        <v>3760.25</v>
      </c>
      <c r="O7" s="19">
        <f t="shared" si="3"/>
        <v>4432.01</v>
      </c>
      <c r="P7" s="20"/>
      <c r="Q7" s="20"/>
      <c r="R7" s="21">
        <f t="shared" si="0"/>
        <v>9991.61</v>
      </c>
      <c r="S7" s="17">
        <f t="shared" si="1"/>
        <v>42854.17</v>
      </c>
      <c r="T7" s="17" t="e">
        <f>#REF!</f>
        <v>#REF!</v>
      </c>
      <c r="U7" s="17" t="e">
        <f>#REF!</f>
        <v>#REF!</v>
      </c>
      <c r="V7" s="17" t="e">
        <f>#REF!</f>
        <v>#REF!</v>
      </c>
      <c r="W7" s="17" t="e">
        <f>#REF!</f>
        <v>#REF!</v>
      </c>
      <c r="X7" s="17" t="e">
        <f>#REF!</f>
        <v>#REF!</v>
      </c>
      <c r="Y7" s="19" t="e">
        <f t="shared" si="2"/>
        <v>#REF!</v>
      </c>
    </row>
    <row r="8" spans="1:25" ht="12.75">
      <c r="A8" s="16" t="s">
        <v>40</v>
      </c>
      <c r="B8" s="24"/>
      <c r="C8" s="24"/>
      <c r="D8" s="25"/>
      <c r="E8" s="24"/>
      <c r="F8" s="24"/>
      <c r="G8" s="24"/>
      <c r="H8" s="24"/>
      <c r="I8" s="24"/>
      <c r="J8" s="24"/>
      <c r="K8" s="24"/>
      <c r="L8" s="24"/>
      <c r="M8" s="24"/>
      <c r="N8" s="24"/>
      <c r="O8" s="26"/>
      <c r="P8" s="27"/>
      <c r="Q8" s="27"/>
      <c r="R8" s="28">
        <f t="shared" si="0"/>
        <v>0</v>
      </c>
      <c r="S8" s="24">
        <f t="shared" si="1"/>
        <v>0</v>
      </c>
      <c r="T8" s="24" t="e">
        <f>#REF!</f>
        <v>#REF!</v>
      </c>
      <c r="U8" s="24" t="e">
        <f>#REF!</f>
        <v>#REF!</v>
      </c>
      <c r="V8" s="24" t="e">
        <f>#REF!</f>
        <v>#REF!</v>
      </c>
      <c r="W8" s="24" t="e">
        <f>#REF!</f>
        <v>#REF!</v>
      </c>
      <c r="X8" s="24" t="e">
        <f>#REF!</f>
        <v>#REF!</v>
      </c>
      <c r="Y8" s="26" t="e">
        <f t="shared" si="2"/>
        <v>#REF!</v>
      </c>
    </row>
    <row r="9" spans="1:25" s="22" customFormat="1" ht="12.75">
      <c r="A9" s="16" t="s">
        <v>41</v>
      </c>
      <c r="B9" s="17">
        <f>SUM(C9:O9)</f>
        <v>22518321.60490445</v>
      </c>
      <c r="C9" s="17"/>
      <c r="D9" s="29">
        <f>D10*(259.31+33.81+2091*1.1)*1.18/1000</f>
        <v>4300186.0116841085</v>
      </c>
      <c r="E9" s="17">
        <f aca="true" t="shared" si="4" ref="E9:O9">E10*1800/1.18</f>
        <v>2051694.9152542374</v>
      </c>
      <c r="F9" s="17">
        <f t="shared" si="4"/>
        <v>4251355.93220339</v>
      </c>
      <c r="G9" s="17">
        <f t="shared" si="4"/>
        <v>1166949.152542373</v>
      </c>
      <c r="H9" s="17">
        <f t="shared" si="4"/>
        <v>674237.2881355933</v>
      </c>
      <c r="I9" s="17">
        <f t="shared" si="4"/>
        <v>1269152.5423728814</v>
      </c>
      <c r="J9" s="17">
        <f t="shared" si="4"/>
        <v>1080000</v>
      </c>
      <c r="K9" s="17">
        <f t="shared" si="4"/>
        <v>442372.8813559322</v>
      </c>
      <c r="L9" s="17">
        <f t="shared" si="4"/>
        <v>3230847.457627119</v>
      </c>
      <c r="M9" s="17">
        <f t="shared" si="4"/>
        <v>532372.8813559322</v>
      </c>
      <c r="N9" s="17">
        <f t="shared" si="4"/>
        <v>1615423.7288135595</v>
      </c>
      <c r="O9" s="19">
        <f t="shared" si="4"/>
        <v>1903728.8135593222</v>
      </c>
      <c r="P9" s="20"/>
      <c r="Q9" s="20"/>
      <c r="R9" s="21">
        <f t="shared" si="0"/>
        <v>4300186.0116841085</v>
      </c>
      <c r="S9" s="17">
        <f t="shared" si="1"/>
        <v>18218135.59322034</v>
      </c>
      <c r="T9" s="17" t="e">
        <f>#REF!</f>
        <v>#REF!</v>
      </c>
      <c r="U9" s="17" t="e">
        <f>#REF!</f>
        <v>#REF!</v>
      </c>
      <c r="V9" s="17" t="e">
        <f>#REF!</f>
        <v>#REF!</v>
      </c>
      <c r="W9" s="17" t="e">
        <f>#REF!</f>
        <v>#REF!</v>
      </c>
      <c r="X9" s="17" t="e">
        <f>#REF!</f>
        <v>#REF!</v>
      </c>
      <c r="Y9" s="19" t="e">
        <f t="shared" si="2"/>
        <v>#REF!</v>
      </c>
    </row>
    <row r="10" spans="1:25" ht="15.75">
      <c r="A10" s="23" t="s">
        <v>110</v>
      </c>
      <c r="B10" s="24">
        <f>SUM(E10:O10)</f>
        <v>11943</v>
      </c>
      <c r="C10" s="17"/>
      <c r="D10" s="25">
        <f>ROUND(D7/(0.9*7900)*1000000,2)</f>
        <v>1405289.73</v>
      </c>
      <c r="E10" s="24">
        <f>ROUND(E7*213.2/5300*7000/1000,0)</f>
        <v>1345</v>
      </c>
      <c r="F10" s="24">
        <f>ROUND(F7*205.4/5300*7000/1000,0)</f>
        <v>2787</v>
      </c>
      <c r="G10" s="24">
        <f>ROUND(G7*213.2/5300*7000/1000,0)</f>
        <v>765</v>
      </c>
      <c r="H10" s="24">
        <f>ROUND(H7*213.2/5300*7000/1000,0)</f>
        <v>442</v>
      </c>
      <c r="I10" s="24">
        <f>ROUND(I7*213.2/5300*7000/1000,0)</f>
        <v>832</v>
      </c>
      <c r="J10" s="24">
        <f>ROUND(J7*213.2/5300*7000/1000,0)</f>
        <v>708</v>
      </c>
      <c r="K10" s="24">
        <f>ROUND(K7*213.2/5300*7000/1000,0)</f>
        <v>290</v>
      </c>
      <c r="L10" s="24">
        <f>ROUND(L7*211.4/5300*7000/1000,0)</f>
        <v>2118</v>
      </c>
      <c r="M10" s="24">
        <f>ROUND(M7*213.2/5300*7000/1000,0)</f>
        <v>349</v>
      </c>
      <c r="N10" s="24">
        <f>ROUND(N7*213.2/5300*7000/1000,0)</f>
        <v>1059</v>
      </c>
      <c r="O10" s="26">
        <f>ROUND(O7*213.2/5300*7000/1000,0)</f>
        <v>1248</v>
      </c>
      <c r="P10" s="27"/>
      <c r="Q10" s="27"/>
      <c r="R10" s="28">
        <f t="shared" si="0"/>
        <v>1405289.73</v>
      </c>
      <c r="S10" s="24">
        <f t="shared" si="1"/>
        <v>11943</v>
      </c>
      <c r="T10" s="24" t="e">
        <f>#REF!</f>
        <v>#REF!</v>
      </c>
      <c r="U10" s="24" t="e">
        <f>#REF!</f>
        <v>#REF!</v>
      </c>
      <c r="V10" s="24" t="e">
        <f>#REF!</f>
        <v>#REF!</v>
      </c>
      <c r="W10" s="24" t="e">
        <f>#REF!</f>
        <v>#REF!</v>
      </c>
      <c r="X10" s="24" t="e">
        <f>#REF!</f>
        <v>#REF!</v>
      </c>
      <c r="Y10" s="26" t="e">
        <f t="shared" si="2"/>
        <v>#REF!</v>
      </c>
    </row>
    <row r="11" spans="1:25" ht="12.75">
      <c r="A11" s="23" t="s">
        <v>42</v>
      </c>
      <c r="B11" s="24">
        <f>SUM(C11:O11)</f>
        <v>4036084.6704978244</v>
      </c>
      <c r="C11" s="17"/>
      <c r="D11" s="25">
        <f>D13*3.3/1.18*120</f>
        <v>28094.8399893498</v>
      </c>
      <c r="E11" s="24">
        <f aca="true" t="shared" si="5" ref="E11:O11">E10*3.3/1.18*120</f>
        <v>451372.8813559322</v>
      </c>
      <c r="F11" s="24">
        <f t="shared" si="5"/>
        <v>935298.3050847459</v>
      </c>
      <c r="G11" s="24">
        <f t="shared" si="5"/>
        <v>256728.81355932204</v>
      </c>
      <c r="H11" s="24">
        <f t="shared" si="5"/>
        <v>148332.2033898305</v>
      </c>
      <c r="I11" s="24">
        <f t="shared" si="5"/>
        <v>279213.55932203395</v>
      </c>
      <c r="J11" s="24">
        <f t="shared" si="5"/>
        <v>237600.00000000003</v>
      </c>
      <c r="K11" s="24">
        <f t="shared" si="5"/>
        <v>97322.03389830509</v>
      </c>
      <c r="L11" s="24">
        <f t="shared" si="5"/>
        <v>710786.4406779661</v>
      </c>
      <c r="M11" s="24">
        <f t="shared" si="5"/>
        <v>117122.03389830509</v>
      </c>
      <c r="N11" s="24">
        <f t="shared" si="5"/>
        <v>355393.22033898305</v>
      </c>
      <c r="O11" s="26">
        <f t="shared" si="5"/>
        <v>418820.3389830508</v>
      </c>
      <c r="P11" s="27"/>
      <c r="Q11" s="27"/>
      <c r="R11" s="28">
        <f t="shared" si="0"/>
        <v>28094.8399893498</v>
      </c>
      <c r="S11" s="24">
        <f t="shared" si="1"/>
        <v>4007989.8305084743</v>
      </c>
      <c r="T11" s="24" t="e">
        <f>#REF!</f>
        <v>#REF!</v>
      </c>
      <c r="U11" s="24" t="e">
        <f>#REF!</f>
        <v>#REF!</v>
      </c>
      <c r="V11" s="24" t="e">
        <f>#REF!</f>
        <v>#REF!</v>
      </c>
      <c r="W11" s="24" t="e">
        <f>#REF!</f>
        <v>#REF!</v>
      </c>
      <c r="X11" s="24" t="e">
        <f>#REF!</f>
        <v>#REF!</v>
      </c>
      <c r="Y11" s="26" t="e">
        <f t="shared" si="2"/>
        <v>#REF!</v>
      </c>
    </row>
    <row r="12" spans="1:25" ht="12.75">
      <c r="A12" s="23" t="s">
        <v>43</v>
      </c>
      <c r="B12" s="24">
        <f>SUM(C12:O12)</f>
        <v>127703.81813340819</v>
      </c>
      <c r="C12" s="17"/>
      <c r="D12" s="25">
        <f>D13*1800/1.18</f>
        <v>127703.81813340819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R12" s="23">
        <f t="shared" si="0"/>
        <v>127703.81813340819</v>
      </c>
      <c r="S12" s="30">
        <f t="shared" si="1"/>
        <v>0</v>
      </c>
      <c r="T12" s="30" t="e">
        <f>#REF!</f>
        <v>#REF!</v>
      </c>
      <c r="U12" s="30" t="e">
        <f>#REF!</f>
        <v>#REF!</v>
      </c>
      <c r="V12" s="30" t="e">
        <f>#REF!</f>
        <v>#REF!</v>
      </c>
      <c r="W12" s="30" t="e">
        <f>#REF!</f>
        <v>#REF!</v>
      </c>
      <c r="X12" s="30" t="e">
        <f>#REF!</f>
        <v>#REF!</v>
      </c>
      <c r="Y12" s="31" t="e">
        <f t="shared" si="2"/>
        <v>#REF!</v>
      </c>
    </row>
    <row r="13" spans="1:25" ht="12.75">
      <c r="A13" s="23" t="s">
        <v>44</v>
      </c>
      <c r="B13" s="24">
        <f>SUM(C13:O13)</f>
        <v>83.71694744301203</v>
      </c>
      <c r="C13" s="17"/>
      <c r="D13" s="25">
        <f>D7*(280.4/5300*7000/1000)/221*5</f>
        <v>83.71694744301203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6"/>
      <c r="P13" s="27"/>
      <c r="Q13" s="27"/>
      <c r="R13" s="28">
        <f t="shared" si="0"/>
        <v>83.71694744301203</v>
      </c>
      <c r="S13" s="24">
        <f t="shared" si="1"/>
        <v>0</v>
      </c>
      <c r="T13" s="24" t="e">
        <f>#REF!</f>
        <v>#REF!</v>
      </c>
      <c r="U13" s="24" t="e">
        <f>#REF!</f>
        <v>#REF!</v>
      </c>
      <c r="V13" s="24" t="e">
        <f>#REF!</f>
        <v>#REF!</v>
      </c>
      <c r="W13" s="24" t="e">
        <f>#REF!</f>
        <v>#REF!</v>
      </c>
      <c r="X13" s="24" t="e">
        <f>#REF!</f>
        <v>#REF!</v>
      </c>
      <c r="Y13" s="26" t="e">
        <f t="shared" si="2"/>
        <v>#REF!</v>
      </c>
    </row>
    <row r="14" spans="1:25" ht="12.75">
      <c r="A14" s="16" t="s">
        <v>45</v>
      </c>
      <c r="B14" s="17">
        <f aca="true" t="shared" si="6" ref="B14:O14">SUM(B9,B11,B12)</f>
        <v>26682110.09353568</v>
      </c>
      <c r="C14" s="17">
        <f t="shared" si="6"/>
        <v>0</v>
      </c>
      <c r="D14" s="18">
        <f t="shared" si="6"/>
        <v>4455984.669806867</v>
      </c>
      <c r="E14" s="17">
        <f t="shared" si="6"/>
        <v>2503067.7966101696</v>
      </c>
      <c r="F14" s="17">
        <f t="shared" si="6"/>
        <v>5186654.237288136</v>
      </c>
      <c r="G14" s="17">
        <f t="shared" si="6"/>
        <v>1423677.9661016949</v>
      </c>
      <c r="H14" s="17">
        <f t="shared" si="6"/>
        <v>822569.4915254238</v>
      </c>
      <c r="I14" s="17">
        <f t="shared" si="6"/>
        <v>1548366.1016949154</v>
      </c>
      <c r="J14" s="17">
        <f t="shared" si="6"/>
        <v>1317600</v>
      </c>
      <c r="K14" s="17">
        <f t="shared" si="6"/>
        <v>539694.9152542374</v>
      </c>
      <c r="L14" s="17">
        <f t="shared" si="6"/>
        <v>3941633.898305085</v>
      </c>
      <c r="M14" s="17">
        <f t="shared" si="6"/>
        <v>649494.9152542374</v>
      </c>
      <c r="N14" s="17">
        <f t="shared" si="6"/>
        <v>1970816.9491525425</v>
      </c>
      <c r="O14" s="19">
        <f t="shared" si="6"/>
        <v>2322549.152542373</v>
      </c>
      <c r="P14" s="20"/>
      <c r="Q14" s="20"/>
      <c r="R14" s="21">
        <f aca="true" t="shared" si="7" ref="R14:X14">SUM(R9,R11,R12)</f>
        <v>4455984.669806867</v>
      </c>
      <c r="S14" s="17">
        <f t="shared" si="7"/>
        <v>22226125.423728812</v>
      </c>
      <c r="T14" s="17" t="e">
        <f t="shared" si="7"/>
        <v>#REF!</v>
      </c>
      <c r="U14" s="17" t="e">
        <f t="shared" si="7"/>
        <v>#REF!</v>
      </c>
      <c r="V14" s="17" t="e">
        <f t="shared" si="7"/>
        <v>#REF!</v>
      </c>
      <c r="W14" s="17" t="e">
        <f t="shared" si="7"/>
        <v>#REF!</v>
      </c>
      <c r="X14" s="17" t="e">
        <f t="shared" si="7"/>
        <v>#REF!</v>
      </c>
      <c r="Y14" s="19" t="e">
        <f t="shared" si="2"/>
        <v>#REF!</v>
      </c>
    </row>
    <row r="15" spans="1:25" s="38" customFormat="1" ht="13.5">
      <c r="A15" s="32" t="s">
        <v>46</v>
      </c>
      <c r="B15" s="33">
        <f aca="true" t="shared" si="8" ref="B15:B21">SUM(C15:O15)</f>
        <v>4822839.476750974</v>
      </c>
      <c r="C15" s="33">
        <f>282603.73-150000+18355.52</f>
        <v>150959.24999999997</v>
      </c>
      <c r="D15" s="34">
        <f>(D7*30)*2.02044*1.26</f>
        <v>763085.55361752</v>
      </c>
      <c r="E15" s="33">
        <f aca="true" t="shared" si="9" ref="E15:O15">(E7*32.2)*2.24814*1.26</f>
        <v>435785.00439085916</v>
      </c>
      <c r="F15" s="33">
        <f t="shared" si="9"/>
        <v>937218.5997599376</v>
      </c>
      <c r="G15" s="33">
        <f t="shared" si="9"/>
        <v>247856.40391307042</v>
      </c>
      <c r="H15" s="33">
        <f t="shared" si="9"/>
        <v>143127.3181860144</v>
      </c>
      <c r="I15" s="33">
        <f t="shared" si="9"/>
        <v>269560.1889233064</v>
      </c>
      <c r="J15" s="33">
        <f t="shared" si="9"/>
        <v>229224.6234380088</v>
      </c>
      <c r="K15" s="33">
        <f t="shared" si="9"/>
        <v>93834.77985766079</v>
      </c>
      <c r="L15" s="33">
        <f t="shared" si="9"/>
        <v>691977.2305862808</v>
      </c>
      <c r="M15" s="33">
        <f t="shared" si="9"/>
        <v>112981.90551157441</v>
      </c>
      <c r="N15" s="33">
        <f t="shared" si="9"/>
        <v>342978.17854482</v>
      </c>
      <c r="O15" s="35">
        <f t="shared" si="9"/>
        <v>404250.4400219208</v>
      </c>
      <c r="P15" s="36"/>
      <c r="Q15" s="36"/>
      <c r="R15" s="37">
        <f>D15</f>
        <v>763085.55361752</v>
      </c>
      <c r="S15" s="33">
        <f>E15+F15+G15+H15+I15+J15+K15+L15+M15+N15+O15</f>
        <v>3908794.6731334534</v>
      </c>
      <c r="T15" s="33" t="e">
        <f>#REF!</f>
        <v>#REF!</v>
      </c>
      <c r="U15" s="33" t="e">
        <f>#REF!</f>
        <v>#REF!</v>
      </c>
      <c r="V15" s="33" t="e">
        <f>#REF!</f>
        <v>#REF!</v>
      </c>
      <c r="W15" s="33" t="e">
        <f>#REF!</f>
        <v>#REF!</v>
      </c>
      <c r="X15" s="33" t="e">
        <f>#REF!</f>
        <v>#REF!</v>
      </c>
      <c r="Y15" s="35" t="e">
        <f t="shared" si="2"/>
        <v>#REF!</v>
      </c>
    </row>
    <row r="16" spans="1:25" s="44" customFormat="1" ht="13.5">
      <c r="A16" s="32" t="s">
        <v>47</v>
      </c>
      <c r="B16" s="33">
        <f t="shared" si="8"/>
        <v>306788.93999999994</v>
      </c>
      <c r="C16" s="39"/>
      <c r="D16" s="40">
        <f>ROUND(0.248*D7*11.41*1.2,2)</f>
        <v>33927.67</v>
      </c>
      <c r="E16" s="39">
        <f aca="true" t="shared" si="10" ref="E16:O16">ROUND(0.465031*E7*11.41*1.2,2)</f>
        <v>30420.85</v>
      </c>
      <c r="F16" s="39">
        <f t="shared" si="10"/>
        <v>65424.43</v>
      </c>
      <c r="G16" s="39">
        <f t="shared" si="10"/>
        <v>17302.11</v>
      </c>
      <c r="H16" s="39">
        <f t="shared" si="10"/>
        <v>9991.29</v>
      </c>
      <c r="I16" s="39">
        <f t="shared" si="10"/>
        <v>18817.19</v>
      </c>
      <c r="J16" s="39">
        <f t="shared" si="10"/>
        <v>16001.49</v>
      </c>
      <c r="K16" s="39">
        <f t="shared" si="10"/>
        <v>6550.33</v>
      </c>
      <c r="L16" s="39">
        <f t="shared" si="10"/>
        <v>48304.86</v>
      </c>
      <c r="M16" s="39">
        <f t="shared" si="10"/>
        <v>7886.93</v>
      </c>
      <c r="N16" s="39">
        <f t="shared" si="10"/>
        <v>23942.28</v>
      </c>
      <c r="O16" s="41">
        <f t="shared" si="10"/>
        <v>28219.51</v>
      </c>
      <c r="P16" s="42"/>
      <c r="Q16" s="42"/>
      <c r="R16" s="43">
        <f>D16</f>
        <v>33927.67</v>
      </c>
      <c r="S16" s="39">
        <f>E16+F16+G16+H16+I16+J16+K16+L16+M16+N16+O16</f>
        <v>272861.26999999996</v>
      </c>
      <c r="T16" s="39" t="e">
        <f>#REF!</f>
        <v>#REF!</v>
      </c>
      <c r="U16" s="39" t="e">
        <f>#REF!</f>
        <v>#REF!</v>
      </c>
      <c r="V16" s="39" t="e">
        <f>#REF!</f>
        <v>#REF!</v>
      </c>
      <c r="W16" s="39" t="e">
        <f>#REF!</f>
        <v>#REF!</v>
      </c>
      <c r="X16" s="39" t="e">
        <f>#REF!</f>
        <v>#REF!</v>
      </c>
      <c r="Y16" s="41" t="e">
        <f t="shared" si="2"/>
        <v>#REF!</v>
      </c>
    </row>
    <row r="17" spans="1:25" s="38" customFormat="1" ht="13.5">
      <c r="A17" s="32" t="s">
        <v>48</v>
      </c>
      <c r="B17" s="33">
        <f t="shared" si="8"/>
        <v>20162244.45389033</v>
      </c>
      <c r="C17" s="45">
        <v>8518261.08389033</v>
      </c>
      <c r="D17" s="34">
        <f>74012.55*2+4678*12*3</f>
        <v>316433.1</v>
      </c>
      <c r="E17" s="33">
        <v>1202680.21</v>
      </c>
      <c r="F17" s="33">
        <v>1953625.5</v>
      </c>
      <c r="G17" s="33">
        <v>960133.29</v>
      </c>
      <c r="H17" s="33">
        <v>601851.07</v>
      </c>
      <c r="I17" s="33">
        <v>957359.96</v>
      </c>
      <c r="J17" s="33">
        <v>820802.38</v>
      </c>
      <c r="K17" s="33">
        <v>601851.07</v>
      </c>
      <c r="L17" s="33">
        <v>1404096.31</v>
      </c>
      <c r="M17" s="33">
        <v>601851.07</v>
      </c>
      <c r="N17" s="33">
        <v>1130594.56</v>
      </c>
      <c r="O17" s="35">
        <v>1092704.85</v>
      </c>
      <c r="P17" s="36"/>
      <c r="Q17" s="36"/>
      <c r="R17" s="37">
        <f>D17</f>
        <v>316433.1</v>
      </c>
      <c r="S17" s="33">
        <f>E17+F17+G17+H17+I17+J17+K17+L17+M17+N17+O17</f>
        <v>11327550.270000001</v>
      </c>
      <c r="T17" s="33" t="e">
        <f>#REF!</f>
        <v>#REF!</v>
      </c>
      <c r="U17" s="33" t="e">
        <f>#REF!</f>
        <v>#REF!</v>
      </c>
      <c r="V17" s="33" t="e">
        <f>#REF!</f>
        <v>#REF!</v>
      </c>
      <c r="W17" s="33" t="e">
        <f>#REF!</f>
        <v>#REF!</v>
      </c>
      <c r="X17" s="33" t="e">
        <f>#REF!</f>
        <v>#REF!</v>
      </c>
      <c r="Y17" s="35" t="e">
        <f t="shared" si="2"/>
        <v>#REF!</v>
      </c>
    </row>
    <row r="18" spans="1:25" s="38" customFormat="1" ht="13.5">
      <c r="A18" s="32" t="s">
        <v>49</v>
      </c>
      <c r="B18" s="33">
        <f t="shared" si="8"/>
        <v>5271116.455319266</v>
      </c>
      <c r="C18" s="33">
        <f>C17*0.262</f>
        <v>2231784.4039792665</v>
      </c>
      <c r="D18" s="34">
        <f>D17*0.226</f>
        <v>71513.8806</v>
      </c>
      <c r="E18" s="33">
        <f aca="true" t="shared" si="11" ref="E18:O18">E17*0.262</f>
        <v>315102.21502</v>
      </c>
      <c r="F18" s="33">
        <f t="shared" si="11"/>
        <v>511849.881</v>
      </c>
      <c r="G18" s="33">
        <f t="shared" si="11"/>
        <v>251554.92198</v>
      </c>
      <c r="H18" s="33">
        <f t="shared" si="11"/>
        <v>157684.98033999998</v>
      </c>
      <c r="I18" s="33">
        <f t="shared" si="11"/>
        <v>250828.30952</v>
      </c>
      <c r="J18" s="33">
        <f t="shared" si="11"/>
        <v>215050.22356</v>
      </c>
      <c r="K18" s="33">
        <f t="shared" si="11"/>
        <v>157684.98033999998</v>
      </c>
      <c r="L18" s="33">
        <f t="shared" si="11"/>
        <v>367873.23322000005</v>
      </c>
      <c r="M18" s="33">
        <f t="shared" si="11"/>
        <v>157684.98033999998</v>
      </c>
      <c r="N18" s="33">
        <f t="shared" si="11"/>
        <v>296215.77472000004</v>
      </c>
      <c r="O18" s="33">
        <f t="shared" si="11"/>
        <v>286288.6707</v>
      </c>
      <c r="P18" s="36"/>
      <c r="Q18" s="36"/>
      <c r="R18" s="37">
        <f>D18</f>
        <v>71513.8806</v>
      </c>
      <c r="S18" s="33">
        <f>E18+F18+G18+H18+I18+J18+K18+L18+M18+N18+O18</f>
        <v>2967818.17074</v>
      </c>
      <c r="T18" s="33" t="e">
        <f>#REF!</f>
        <v>#REF!</v>
      </c>
      <c r="U18" s="33" t="e">
        <f>#REF!</f>
        <v>#REF!</v>
      </c>
      <c r="V18" s="33" t="e">
        <f>#REF!</f>
        <v>#REF!</v>
      </c>
      <c r="W18" s="33" t="e">
        <f>#REF!</f>
        <v>#REF!</v>
      </c>
      <c r="X18" s="33" t="e">
        <f>#REF!</f>
        <v>#REF!</v>
      </c>
      <c r="Y18" s="35" t="e">
        <f t="shared" si="2"/>
        <v>#REF!</v>
      </c>
    </row>
    <row r="19" spans="1:25" s="22" customFormat="1" ht="13.5">
      <c r="A19" s="32" t="s">
        <v>50</v>
      </c>
      <c r="B19" s="33">
        <f t="shared" si="8"/>
        <v>1811763</v>
      </c>
      <c r="C19" s="17">
        <f>C20</f>
        <v>0</v>
      </c>
      <c r="D19" s="18">
        <f aca="true" t="shared" si="12" ref="D19:O19">SUM(D20:D21)</f>
        <v>254500</v>
      </c>
      <c r="E19" s="17">
        <f t="shared" si="12"/>
        <v>156941</v>
      </c>
      <c r="F19" s="17">
        <f t="shared" si="12"/>
        <v>385592</v>
      </c>
      <c r="G19" s="17">
        <f t="shared" si="12"/>
        <v>72337</v>
      </c>
      <c r="H19" s="17">
        <f t="shared" si="12"/>
        <v>36662</v>
      </c>
      <c r="I19" s="17">
        <f t="shared" si="12"/>
        <v>91533</v>
      </c>
      <c r="J19" s="17">
        <f t="shared" si="12"/>
        <v>83189</v>
      </c>
      <c r="K19" s="17">
        <f t="shared" si="12"/>
        <v>79121</v>
      </c>
      <c r="L19" s="17">
        <f t="shared" si="12"/>
        <v>264046</v>
      </c>
      <c r="M19" s="17">
        <f t="shared" si="12"/>
        <v>43607</v>
      </c>
      <c r="N19" s="17">
        <f t="shared" si="12"/>
        <v>173789</v>
      </c>
      <c r="O19" s="19">
        <f t="shared" si="12"/>
        <v>170446</v>
      </c>
      <c r="P19" s="20"/>
      <c r="Q19" s="20"/>
      <c r="R19" s="21">
        <f aca="true" t="shared" si="13" ref="R19:X19">SUM(R20:R21)</f>
        <v>254500</v>
      </c>
      <c r="S19" s="17">
        <f t="shared" si="13"/>
        <v>1557263</v>
      </c>
      <c r="T19" s="17" t="e">
        <f t="shared" si="13"/>
        <v>#REF!</v>
      </c>
      <c r="U19" s="17" t="e">
        <f t="shared" si="13"/>
        <v>#REF!</v>
      </c>
      <c r="V19" s="17" t="e">
        <f t="shared" si="13"/>
        <v>#REF!</v>
      </c>
      <c r="W19" s="17" t="e">
        <f t="shared" si="13"/>
        <v>#REF!</v>
      </c>
      <c r="X19" s="17" t="e">
        <f t="shared" si="13"/>
        <v>#REF!</v>
      </c>
      <c r="Y19" s="19" t="e">
        <f t="shared" si="2"/>
        <v>#REF!</v>
      </c>
    </row>
    <row r="20" spans="1:25" ht="12.75">
      <c r="A20" s="46" t="s">
        <v>51</v>
      </c>
      <c r="B20" s="39">
        <f t="shared" si="8"/>
        <v>1811763</v>
      </c>
      <c r="C20" s="17"/>
      <c r="D20" s="25">
        <v>254500</v>
      </c>
      <c r="E20" s="24">
        <f>306941-150000</f>
        <v>156941</v>
      </c>
      <c r="F20" s="30">
        <f>585592-200000</f>
        <v>385592</v>
      </c>
      <c r="G20" s="30">
        <f>172337-100000</f>
        <v>72337</v>
      </c>
      <c r="H20" s="30">
        <f>136662-100000</f>
        <v>36662</v>
      </c>
      <c r="I20" s="30">
        <f>191533-100000</f>
        <v>91533</v>
      </c>
      <c r="J20" s="30">
        <v>83189</v>
      </c>
      <c r="K20" s="30">
        <f>179121-100000</f>
        <v>79121</v>
      </c>
      <c r="L20" s="30">
        <f>414046-150000</f>
        <v>264046</v>
      </c>
      <c r="M20" s="30">
        <v>43607</v>
      </c>
      <c r="N20" s="30">
        <f>273789-100000</f>
        <v>173789</v>
      </c>
      <c r="O20" s="31">
        <f>270446-100000</f>
        <v>170446</v>
      </c>
      <c r="R20" s="23">
        <f>D20</f>
        <v>254500</v>
      </c>
      <c r="S20" s="30">
        <f>E20+F20+G20+H20+I20+J20+K20+L20+M20+N20+O20</f>
        <v>1557263</v>
      </c>
      <c r="T20" s="30" t="e">
        <f>#REF!</f>
        <v>#REF!</v>
      </c>
      <c r="U20" s="30" t="e">
        <f>#REF!</f>
        <v>#REF!</v>
      </c>
      <c r="V20" s="30" t="e">
        <f>#REF!</f>
        <v>#REF!</v>
      </c>
      <c r="W20" s="30" t="e">
        <f>#REF!</f>
        <v>#REF!</v>
      </c>
      <c r="X20" s="30" t="e">
        <f>#REF!</f>
        <v>#REF!</v>
      </c>
      <c r="Y20" s="31" t="e">
        <f t="shared" si="2"/>
        <v>#REF!</v>
      </c>
    </row>
    <row r="21" spans="1:25" ht="12.75">
      <c r="A21" s="46" t="s">
        <v>52</v>
      </c>
      <c r="B21" s="39">
        <f t="shared" si="8"/>
        <v>0</v>
      </c>
      <c r="C21" s="17"/>
      <c r="D21" s="25"/>
      <c r="E21" s="24">
        <f>327950*0</f>
        <v>0</v>
      </c>
      <c r="F21" s="30"/>
      <c r="G21" s="30"/>
      <c r="H21" s="30"/>
      <c r="I21" s="30"/>
      <c r="J21" s="30">
        <f>205962*0</f>
        <v>0</v>
      </c>
      <c r="K21" s="30">
        <f>423620*0</f>
        <v>0</v>
      </c>
      <c r="L21" s="30"/>
      <c r="M21" s="30"/>
      <c r="N21" s="30">
        <f>786553*0</f>
        <v>0</v>
      </c>
      <c r="O21" s="31"/>
      <c r="R21" s="23">
        <f>D21</f>
        <v>0</v>
      </c>
      <c r="S21" s="30">
        <f>E21+F21+G21+H21+I21+J21+K21+L21+M21+N21+O21</f>
        <v>0</v>
      </c>
      <c r="T21" s="30" t="e">
        <f>#REF!</f>
        <v>#REF!</v>
      </c>
      <c r="U21" s="30" t="e">
        <f>#REF!</f>
        <v>#REF!</v>
      </c>
      <c r="V21" s="30" t="e">
        <f>#REF!</f>
        <v>#REF!</v>
      </c>
      <c r="W21" s="30" t="e">
        <f>#REF!</f>
        <v>#REF!</v>
      </c>
      <c r="X21" s="30" t="e">
        <f>#REF!</f>
        <v>#REF!</v>
      </c>
      <c r="Y21" s="31" t="e">
        <f t="shared" si="2"/>
        <v>#REF!</v>
      </c>
    </row>
    <row r="22" spans="1:25" ht="13.5">
      <c r="A22" s="16" t="s">
        <v>53</v>
      </c>
      <c r="B22" s="33">
        <f aca="true" t="shared" si="14" ref="B22:O22">SUM(B23:B27)</f>
        <v>1824735.1099999999</v>
      </c>
      <c r="C22" s="33">
        <f t="shared" si="14"/>
        <v>94335.11</v>
      </c>
      <c r="D22" s="34">
        <f t="shared" si="14"/>
        <v>1730400</v>
      </c>
      <c r="E22" s="33">
        <f t="shared" si="14"/>
        <v>0</v>
      </c>
      <c r="F22" s="33">
        <f t="shared" si="14"/>
        <v>0</v>
      </c>
      <c r="G22" s="33">
        <f t="shared" si="14"/>
        <v>0</v>
      </c>
      <c r="H22" s="33">
        <f t="shared" si="14"/>
        <v>0</v>
      </c>
      <c r="I22" s="33">
        <f t="shared" si="14"/>
        <v>0</v>
      </c>
      <c r="J22" s="33">
        <f t="shared" si="14"/>
        <v>0</v>
      </c>
      <c r="K22" s="33">
        <f t="shared" si="14"/>
        <v>0</v>
      </c>
      <c r="L22" s="33">
        <f t="shared" si="14"/>
        <v>0</v>
      </c>
      <c r="M22" s="33">
        <f t="shared" si="14"/>
        <v>0</v>
      </c>
      <c r="N22" s="33">
        <f t="shared" si="14"/>
        <v>0</v>
      </c>
      <c r="O22" s="35">
        <f t="shared" si="14"/>
        <v>0</v>
      </c>
      <c r="P22" s="36"/>
      <c r="Q22" s="36"/>
      <c r="R22" s="37">
        <f aca="true" t="shared" si="15" ref="R22:X22">SUM(R23:R27)</f>
        <v>1730400</v>
      </c>
      <c r="S22" s="33">
        <f t="shared" si="15"/>
        <v>0</v>
      </c>
      <c r="T22" s="33" t="e">
        <f t="shared" si="15"/>
        <v>#REF!</v>
      </c>
      <c r="U22" s="33" t="e">
        <f t="shared" si="15"/>
        <v>#REF!</v>
      </c>
      <c r="V22" s="33" t="e">
        <f t="shared" si="15"/>
        <v>#REF!</v>
      </c>
      <c r="W22" s="33" t="e">
        <f t="shared" si="15"/>
        <v>#REF!</v>
      </c>
      <c r="X22" s="33" t="e">
        <f t="shared" si="15"/>
        <v>#REF!</v>
      </c>
      <c r="Y22" s="35" t="e">
        <f t="shared" si="2"/>
        <v>#REF!</v>
      </c>
    </row>
    <row r="23" spans="1:25" s="44" customFormat="1" ht="12.75">
      <c r="A23" s="47" t="s">
        <v>54</v>
      </c>
      <c r="B23" s="39">
        <f>SUM(C23:O23)</f>
        <v>21730.95</v>
      </c>
      <c r="C23" s="39">
        <v>21730.95</v>
      </c>
      <c r="D23" s="40"/>
      <c r="E23" s="39"/>
      <c r="F23" s="48"/>
      <c r="G23" s="48"/>
      <c r="H23" s="48"/>
      <c r="I23" s="48"/>
      <c r="J23" s="48"/>
      <c r="K23" s="48"/>
      <c r="L23" s="48"/>
      <c r="M23" s="48"/>
      <c r="N23" s="48"/>
      <c r="O23" s="49"/>
      <c r="R23" s="46">
        <f>D23</f>
        <v>0</v>
      </c>
      <c r="S23" s="48">
        <f>E23+F23+G23+H23+I23+J23+K23+L23+M23+N23+O23</f>
        <v>0</v>
      </c>
      <c r="T23" s="48" t="e">
        <f>#REF!</f>
        <v>#REF!</v>
      </c>
      <c r="U23" s="48" t="e">
        <f>#REF!</f>
        <v>#REF!</v>
      </c>
      <c r="V23" s="48" t="e">
        <f>#REF!</f>
        <v>#REF!</v>
      </c>
      <c r="W23" s="48" t="e">
        <f>#REF!</f>
        <v>#REF!</v>
      </c>
      <c r="X23" s="48" t="e">
        <f>#REF!</f>
        <v>#REF!</v>
      </c>
      <c r="Y23" s="49" t="e">
        <f t="shared" si="2"/>
        <v>#REF!</v>
      </c>
    </row>
    <row r="24" spans="1:25" s="44" customFormat="1" ht="12.75">
      <c r="A24" s="47" t="s">
        <v>55</v>
      </c>
      <c r="B24" s="39">
        <f>SUM(C24:O24)</f>
        <v>47040</v>
      </c>
      <c r="C24" s="39">
        <v>47040</v>
      </c>
      <c r="D24" s="40"/>
      <c r="E24" s="39"/>
      <c r="F24" s="48"/>
      <c r="G24" s="48"/>
      <c r="H24" s="48"/>
      <c r="I24" s="48"/>
      <c r="J24" s="48"/>
      <c r="K24" s="48"/>
      <c r="L24" s="48"/>
      <c r="M24" s="48"/>
      <c r="N24" s="48"/>
      <c r="O24" s="49"/>
      <c r="R24" s="46">
        <f>D24</f>
        <v>0</v>
      </c>
      <c r="S24" s="48">
        <f>E24+F24+G24+H24+I24+J24+K24+L24+M24+N24+O24</f>
        <v>0</v>
      </c>
      <c r="T24" s="48" t="e">
        <f>#REF!</f>
        <v>#REF!</v>
      </c>
      <c r="U24" s="48" t="e">
        <f>#REF!</f>
        <v>#REF!</v>
      </c>
      <c r="V24" s="48" t="e">
        <f>#REF!</f>
        <v>#REF!</v>
      </c>
      <c r="W24" s="48" t="e">
        <f>#REF!</f>
        <v>#REF!</v>
      </c>
      <c r="X24" s="48" t="e">
        <f>#REF!</f>
        <v>#REF!</v>
      </c>
      <c r="Y24" s="49" t="e">
        <f t="shared" si="2"/>
        <v>#REF!</v>
      </c>
    </row>
    <row r="25" spans="1:25" s="44" customFormat="1" ht="12.75">
      <c r="A25" s="47" t="s">
        <v>56</v>
      </c>
      <c r="B25" s="39">
        <f>SUM(C25:O25)</f>
        <v>25564.160000000003</v>
      </c>
      <c r="C25" s="39">
        <f>95564.16-70000</f>
        <v>25564.160000000003</v>
      </c>
      <c r="D25" s="40"/>
      <c r="E25" s="39"/>
      <c r="F25" s="48"/>
      <c r="G25" s="48"/>
      <c r="H25" s="48"/>
      <c r="I25" s="48"/>
      <c r="J25" s="48"/>
      <c r="K25" s="48"/>
      <c r="L25" s="48"/>
      <c r="M25" s="48"/>
      <c r="N25" s="48"/>
      <c r="O25" s="49"/>
      <c r="R25" s="46">
        <f>D25</f>
        <v>0</v>
      </c>
      <c r="S25" s="48">
        <f>E25+F25+G25+H25+I25+J25+K25+L25+M25+N25+O25</f>
        <v>0</v>
      </c>
      <c r="T25" s="48" t="e">
        <f>#REF!</f>
        <v>#REF!</v>
      </c>
      <c r="U25" s="48" t="e">
        <f>#REF!</f>
        <v>#REF!</v>
      </c>
      <c r="V25" s="48" t="e">
        <f>#REF!</f>
        <v>#REF!</v>
      </c>
      <c r="W25" s="48" t="e">
        <f>#REF!</f>
        <v>#REF!</v>
      </c>
      <c r="X25" s="48" t="e">
        <f>#REF!</f>
        <v>#REF!</v>
      </c>
      <c r="Y25" s="49" t="e">
        <f t="shared" si="2"/>
        <v>#REF!</v>
      </c>
    </row>
    <row r="26" spans="1:25" s="44" customFormat="1" ht="12.75">
      <c r="A26" s="47" t="s">
        <v>57</v>
      </c>
      <c r="B26" s="39">
        <f>SUM(C26:O26)</f>
        <v>50040</v>
      </c>
      <c r="C26" s="39"/>
      <c r="D26" s="40">
        <f>4170*12</f>
        <v>50040</v>
      </c>
      <c r="E26" s="39"/>
      <c r="F26" s="48"/>
      <c r="G26" s="48"/>
      <c r="H26" s="48"/>
      <c r="I26" s="48"/>
      <c r="J26" s="48"/>
      <c r="K26" s="48"/>
      <c r="L26" s="48"/>
      <c r="M26" s="48"/>
      <c r="N26" s="48"/>
      <c r="O26" s="49"/>
      <c r="R26" s="46">
        <f>D26</f>
        <v>50040</v>
      </c>
      <c r="S26" s="48">
        <f>E26+F26+G26+H26+I26+J26+K26+L26+M26+N26+O26</f>
        <v>0</v>
      </c>
      <c r="T26" s="48" t="e">
        <f>#REF!</f>
        <v>#REF!</v>
      </c>
      <c r="U26" s="48" t="e">
        <f>#REF!</f>
        <v>#REF!</v>
      </c>
      <c r="V26" s="48" t="e">
        <f>#REF!</f>
        <v>#REF!</v>
      </c>
      <c r="W26" s="48" t="e">
        <f>#REF!</f>
        <v>#REF!</v>
      </c>
      <c r="X26" s="48" t="e">
        <f>#REF!</f>
        <v>#REF!</v>
      </c>
      <c r="Y26" s="49" t="e">
        <f t="shared" si="2"/>
        <v>#REF!</v>
      </c>
    </row>
    <row r="27" spans="1:25" s="44" customFormat="1" ht="12.75">
      <c r="A27" s="47" t="s">
        <v>58</v>
      </c>
      <c r="B27" s="39">
        <f>SUM(C27:O27)</f>
        <v>1680360</v>
      </c>
      <c r="C27" s="39"/>
      <c r="D27" s="40">
        <f>(149386-9356)*12</f>
        <v>1680360</v>
      </c>
      <c r="E27" s="39"/>
      <c r="F27" s="48"/>
      <c r="G27" s="48"/>
      <c r="H27" s="48"/>
      <c r="I27" s="48"/>
      <c r="J27" s="48"/>
      <c r="K27" s="48"/>
      <c r="L27" s="48"/>
      <c r="M27" s="48"/>
      <c r="N27" s="48"/>
      <c r="O27" s="49"/>
      <c r="R27" s="46">
        <f>D27</f>
        <v>1680360</v>
      </c>
      <c r="S27" s="48">
        <f>E27+F27+G27+H27+I27+J27+K27+L27+M27+N27+O27</f>
        <v>0</v>
      </c>
      <c r="T27" s="48" t="e">
        <f>#REF!</f>
        <v>#REF!</v>
      </c>
      <c r="U27" s="48" t="e">
        <f>#REF!</f>
        <v>#REF!</v>
      </c>
      <c r="V27" s="48" t="e">
        <f>#REF!</f>
        <v>#REF!</v>
      </c>
      <c r="W27" s="48" t="e">
        <f>#REF!</f>
        <v>#REF!</v>
      </c>
      <c r="X27" s="48" t="e">
        <f>#REF!</f>
        <v>#REF!</v>
      </c>
      <c r="Y27" s="49" t="e">
        <f t="shared" si="2"/>
        <v>#REF!</v>
      </c>
    </row>
    <row r="28" spans="1:25" ht="12.75">
      <c r="A28" s="16" t="s">
        <v>59</v>
      </c>
      <c r="B28" s="17">
        <f aca="true" t="shared" si="16" ref="B28:O28">SUM(B29:B30)</f>
        <v>3187201.28</v>
      </c>
      <c r="C28" s="17">
        <f t="shared" si="16"/>
        <v>1706639.28</v>
      </c>
      <c r="D28" s="18">
        <f t="shared" si="16"/>
        <v>763223.1</v>
      </c>
      <c r="E28" s="17">
        <f t="shared" si="16"/>
        <v>75842.28</v>
      </c>
      <c r="F28" s="17">
        <f t="shared" si="16"/>
        <v>76264.74</v>
      </c>
      <c r="G28" s="17">
        <f t="shared" si="16"/>
        <v>43933.130000000005</v>
      </c>
      <c r="H28" s="17">
        <f t="shared" si="16"/>
        <v>27015.300000000003</v>
      </c>
      <c r="I28" s="17">
        <f t="shared" si="16"/>
        <v>154051.43</v>
      </c>
      <c r="J28" s="17">
        <f t="shared" si="16"/>
        <v>39683.88</v>
      </c>
      <c r="K28" s="17">
        <f t="shared" si="16"/>
        <v>23727.239999999998</v>
      </c>
      <c r="L28" s="17">
        <f t="shared" si="16"/>
        <v>69639.08</v>
      </c>
      <c r="M28" s="17">
        <f t="shared" si="16"/>
        <v>26783.25</v>
      </c>
      <c r="N28" s="17">
        <f t="shared" si="16"/>
        <v>33095.64</v>
      </c>
      <c r="O28" s="19">
        <f t="shared" si="16"/>
        <v>147302.93</v>
      </c>
      <c r="P28" s="20"/>
      <c r="Q28" s="20"/>
      <c r="R28" s="21">
        <f aca="true" t="shared" si="17" ref="R28:X28">SUM(R29:R30)</f>
        <v>763223.1</v>
      </c>
      <c r="S28" s="17">
        <f t="shared" si="17"/>
        <v>717338.9</v>
      </c>
      <c r="T28" s="17" t="e">
        <f t="shared" si="17"/>
        <v>#REF!</v>
      </c>
      <c r="U28" s="17" t="e">
        <f t="shared" si="17"/>
        <v>#REF!</v>
      </c>
      <c r="V28" s="17" t="e">
        <f t="shared" si="17"/>
        <v>#REF!</v>
      </c>
      <c r="W28" s="17" t="e">
        <f t="shared" si="17"/>
        <v>#REF!</v>
      </c>
      <c r="X28" s="17" t="e">
        <f t="shared" si="17"/>
        <v>#REF!</v>
      </c>
      <c r="Y28" s="19" t="e">
        <f t="shared" si="2"/>
        <v>#REF!</v>
      </c>
    </row>
    <row r="29" spans="1:25" s="44" customFormat="1" ht="12.75">
      <c r="A29" s="47" t="s">
        <v>60</v>
      </c>
      <c r="B29" s="39">
        <f>SUM(C29:O29)</f>
        <v>1203916.5</v>
      </c>
      <c r="C29" s="39">
        <f>1603916.5-400000</f>
        <v>1203916.5</v>
      </c>
      <c r="D29" s="4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1"/>
      <c r="P29" s="42"/>
      <c r="Q29" s="42"/>
      <c r="R29" s="43"/>
      <c r="S29" s="39"/>
      <c r="T29" s="39"/>
      <c r="U29" s="39"/>
      <c r="V29" s="39"/>
      <c r="W29" s="39"/>
      <c r="X29" s="39"/>
      <c r="Y29" s="41">
        <f t="shared" si="2"/>
        <v>0</v>
      </c>
    </row>
    <row r="30" spans="1:25" s="44" customFormat="1" ht="12.75">
      <c r="A30" s="47" t="s">
        <v>61</v>
      </c>
      <c r="B30" s="39">
        <f aca="true" t="shared" si="18" ref="B30:O30">SUM(B31:B37)</f>
        <v>1983284.7799999998</v>
      </c>
      <c r="C30" s="39">
        <f t="shared" si="18"/>
        <v>502722.78</v>
      </c>
      <c r="D30" s="40">
        <f t="shared" si="18"/>
        <v>763223.1</v>
      </c>
      <c r="E30" s="39">
        <f t="shared" si="18"/>
        <v>75842.28</v>
      </c>
      <c r="F30" s="39">
        <f t="shared" si="18"/>
        <v>76264.74</v>
      </c>
      <c r="G30" s="39">
        <f t="shared" si="18"/>
        <v>43933.130000000005</v>
      </c>
      <c r="H30" s="39">
        <f t="shared" si="18"/>
        <v>27015.300000000003</v>
      </c>
      <c r="I30" s="39">
        <f t="shared" si="18"/>
        <v>154051.43</v>
      </c>
      <c r="J30" s="39">
        <f t="shared" si="18"/>
        <v>39683.88</v>
      </c>
      <c r="K30" s="39">
        <f t="shared" si="18"/>
        <v>23727.239999999998</v>
      </c>
      <c r="L30" s="39">
        <f t="shared" si="18"/>
        <v>69639.08</v>
      </c>
      <c r="M30" s="39">
        <f t="shared" si="18"/>
        <v>26783.25</v>
      </c>
      <c r="N30" s="39">
        <f t="shared" si="18"/>
        <v>33095.64</v>
      </c>
      <c r="O30" s="41">
        <f t="shared" si="18"/>
        <v>147302.93</v>
      </c>
      <c r="P30" s="42"/>
      <c r="Q30" s="42"/>
      <c r="R30" s="43">
        <f aca="true" t="shared" si="19" ref="R30:X30">SUM(R31:R37)</f>
        <v>763223.1</v>
      </c>
      <c r="S30" s="39">
        <f t="shared" si="19"/>
        <v>717338.9</v>
      </c>
      <c r="T30" s="39" t="e">
        <f t="shared" si="19"/>
        <v>#REF!</v>
      </c>
      <c r="U30" s="39" t="e">
        <f t="shared" si="19"/>
        <v>#REF!</v>
      </c>
      <c r="V30" s="39" t="e">
        <f t="shared" si="19"/>
        <v>#REF!</v>
      </c>
      <c r="W30" s="39" t="e">
        <f t="shared" si="19"/>
        <v>#REF!</v>
      </c>
      <c r="X30" s="39" t="e">
        <f t="shared" si="19"/>
        <v>#REF!</v>
      </c>
      <c r="Y30" s="41" t="e">
        <f t="shared" si="2"/>
        <v>#REF!</v>
      </c>
    </row>
    <row r="31" spans="1:25" ht="12.75">
      <c r="A31" s="47" t="s">
        <v>62</v>
      </c>
      <c r="B31" s="24">
        <f aca="true" t="shared" si="20" ref="B31:B39">SUM(C31:O31)</f>
        <v>1135841.0499999998</v>
      </c>
      <c r="C31" s="24">
        <v>85127.39</v>
      </c>
      <c r="D31" s="25">
        <v>760000</v>
      </c>
      <c r="E31" s="24">
        <f>50785.32-10000</f>
        <v>40785.32</v>
      </c>
      <c r="F31" s="24">
        <f>46206.79-10000</f>
        <v>36206.79</v>
      </c>
      <c r="G31" s="24">
        <v>29607.13</v>
      </c>
      <c r="H31" s="24">
        <v>22034.33</v>
      </c>
      <c r="I31" s="24">
        <v>17709.08</v>
      </c>
      <c r="J31" s="24">
        <v>31964.69</v>
      </c>
      <c r="K31" s="24">
        <v>21305.14</v>
      </c>
      <c r="L31" s="24">
        <v>30905.52</v>
      </c>
      <c r="M31" s="24">
        <v>24361.15</v>
      </c>
      <c r="N31" s="24">
        <v>23756.08</v>
      </c>
      <c r="O31" s="26">
        <v>12078.43</v>
      </c>
      <c r="P31" s="27"/>
      <c r="Q31" s="27"/>
      <c r="R31" s="28">
        <f aca="true" t="shared" si="21" ref="R31:R39">D31</f>
        <v>760000</v>
      </c>
      <c r="S31" s="24">
        <f aca="true" t="shared" si="22" ref="S31:S39">E31+F31+G31+H31+I31+J31+K31+L31+M31+N31+O31</f>
        <v>290713.66000000003</v>
      </c>
      <c r="T31" s="24" t="e">
        <f>#REF!</f>
        <v>#REF!</v>
      </c>
      <c r="U31" s="24" t="e">
        <f>#REF!</f>
        <v>#REF!</v>
      </c>
      <c r="V31" s="24" t="e">
        <f>#REF!</f>
        <v>#REF!</v>
      </c>
      <c r="W31" s="24" t="e">
        <f>#REF!</f>
        <v>#REF!</v>
      </c>
      <c r="X31" s="24" t="e">
        <f>#REF!</f>
        <v>#REF!</v>
      </c>
      <c r="Y31" s="26" t="e">
        <f t="shared" si="2"/>
        <v>#REF!</v>
      </c>
    </row>
    <row r="32" spans="1:25" ht="12.75">
      <c r="A32" s="47" t="s">
        <v>63</v>
      </c>
      <c r="B32" s="24">
        <f t="shared" si="20"/>
        <v>366956.65</v>
      </c>
      <c r="C32" s="24">
        <f>733913.3/2</f>
        <v>366956.65</v>
      </c>
      <c r="D32" s="25"/>
      <c r="E32" s="24"/>
      <c r="F32" s="30"/>
      <c r="G32" s="30"/>
      <c r="H32" s="30"/>
      <c r="I32" s="30"/>
      <c r="J32" s="30"/>
      <c r="K32" s="30"/>
      <c r="L32" s="30"/>
      <c r="M32" s="30"/>
      <c r="N32" s="30"/>
      <c r="O32" s="31"/>
      <c r="R32" s="23">
        <f t="shared" si="21"/>
        <v>0</v>
      </c>
      <c r="S32" s="30">
        <f t="shared" si="22"/>
        <v>0</v>
      </c>
      <c r="T32" s="30" t="e">
        <f>#REF!</f>
        <v>#REF!</v>
      </c>
      <c r="U32" s="30" t="e">
        <f>#REF!</f>
        <v>#REF!</v>
      </c>
      <c r="V32" s="30" t="e">
        <f>#REF!</f>
        <v>#REF!</v>
      </c>
      <c r="W32" s="30" t="e">
        <f>#REF!</f>
        <v>#REF!</v>
      </c>
      <c r="X32" s="30" t="e">
        <f>#REF!</f>
        <v>#REF!</v>
      </c>
      <c r="Y32" s="31" t="e">
        <f t="shared" si="2"/>
        <v>#REF!</v>
      </c>
    </row>
    <row r="33" spans="1:25" ht="12.75">
      <c r="A33" s="47" t="s">
        <v>64</v>
      </c>
      <c r="B33" s="24">
        <f t="shared" si="20"/>
        <v>0</v>
      </c>
      <c r="C33" s="24">
        <v>0</v>
      </c>
      <c r="D33" s="25"/>
      <c r="E33" s="24"/>
      <c r="F33" s="30"/>
      <c r="G33" s="30"/>
      <c r="H33" s="30"/>
      <c r="I33" s="30"/>
      <c r="J33" s="30"/>
      <c r="K33" s="30"/>
      <c r="L33" s="30"/>
      <c r="M33" s="30"/>
      <c r="N33" s="30"/>
      <c r="O33" s="31"/>
      <c r="R33" s="23">
        <f t="shared" si="21"/>
        <v>0</v>
      </c>
      <c r="S33" s="30">
        <f t="shared" si="22"/>
        <v>0</v>
      </c>
      <c r="T33" s="30" t="e">
        <f>#REF!</f>
        <v>#REF!</v>
      </c>
      <c r="U33" s="30" t="e">
        <f>#REF!</f>
        <v>#REF!</v>
      </c>
      <c r="V33" s="30" t="e">
        <f>#REF!</f>
        <v>#REF!</v>
      </c>
      <c r="W33" s="30" t="e">
        <f>#REF!</f>
        <v>#REF!</v>
      </c>
      <c r="X33" s="30" t="e">
        <f>#REF!</f>
        <v>#REF!</v>
      </c>
      <c r="Y33" s="31" t="e">
        <f t="shared" si="2"/>
        <v>#REF!</v>
      </c>
    </row>
    <row r="34" spans="1:25" ht="12.75">
      <c r="A34" s="47" t="s">
        <v>65</v>
      </c>
      <c r="B34" s="24">
        <f t="shared" si="20"/>
        <v>50638.74</v>
      </c>
      <c r="C34" s="24">
        <v>50638.74</v>
      </c>
      <c r="D34" s="25"/>
      <c r="E34" s="24"/>
      <c r="F34" s="30"/>
      <c r="G34" s="30"/>
      <c r="H34" s="30"/>
      <c r="I34" s="30"/>
      <c r="J34" s="30"/>
      <c r="K34" s="30"/>
      <c r="L34" s="30"/>
      <c r="M34" s="30"/>
      <c r="N34" s="30"/>
      <c r="O34" s="31"/>
      <c r="R34" s="23">
        <f t="shared" si="21"/>
        <v>0</v>
      </c>
      <c r="S34" s="30">
        <f t="shared" si="22"/>
        <v>0</v>
      </c>
      <c r="T34" s="30" t="e">
        <f>#REF!</f>
        <v>#REF!</v>
      </c>
      <c r="U34" s="30" t="e">
        <f>#REF!</f>
        <v>#REF!</v>
      </c>
      <c r="V34" s="30" t="e">
        <f>#REF!</f>
        <v>#REF!</v>
      </c>
      <c r="W34" s="30" t="e">
        <f>#REF!</f>
        <v>#REF!</v>
      </c>
      <c r="X34" s="30" t="e">
        <f>#REF!</f>
        <v>#REF!</v>
      </c>
      <c r="Y34" s="31" t="e">
        <f t="shared" si="2"/>
        <v>#REF!</v>
      </c>
    </row>
    <row r="35" spans="1:25" ht="12.75">
      <c r="A35" s="47" t="s">
        <v>66</v>
      </c>
      <c r="B35" s="24">
        <f t="shared" si="20"/>
        <v>317040.52</v>
      </c>
      <c r="C35" s="24"/>
      <c r="D35" s="25"/>
      <c r="E35" s="24">
        <v>20860.12</v>
      </c>
      <c r="F35" s="24">
        <v>20860.12</v>
      </c>
      <c r="G35" s="24"/>
      <c r="H35" s="30"/>
      <c r="I35" s="30">
        <v>127230.08</v>
      </c>
      <c r="J35" s="30"/>
      <c r="K35" s="30"/>
      <c r="L35" s="30">
        <v>20860.12</v>
      </c>
      <c r="M35" s="30"/>
      <c r="N35" s="30"/>
      <c r="O35" s="31">
        <v>127230.08</v>
      </c>
      <c r="R35" s="23">
        <f t="shared" si="21"/>
        <v>0</v>
      </c>
      <c r="S35" s="30">
        <f t="shared" si="22"/>
        <v>317040.52</v>
      </c>
      <c r="T35" s="30" t="e">
        <f>#REF!</f>
        <v>#REF!</v>
      </c>
      <c r="U35" s="30" t="e">
        <f>#REF!</f>
        <v>#REF!</v>
      </c>
      <c r="V35" s="30" t="e">
        <f>#REF!</f>
        <v>#REF!</v>
      </c>
      <c r="W35" s="30" t="e">
        <f>#REF!</f>
        <v>#REF!</v>
      </c>
      <c r="X35" s="30" t="e">
        <f>#REF!</f>
        <v>#REF!</v>
      </c>
      <c r="Y35" s="31" t="e">
        <f t="shared" si="2"/>
        <v>#REF!</v>
      </c>
    </row>
    <row r="36" spans="1:25" ht="12.75">
      <c r="A36" s="47" t="s">
        <v>67</v>
      </c>
      <c r="B36" s="24">
        <f t="shared" si="20"/>
        <v>0</v>
      </c>
      <c r="C36" s="24"/>
      <c r="D36" s="25"/>
      <c r="E36" s="24"/>
      <c r="F36" s="30"/>
      <c r="G36" s="30"/>
      <c r="H36" s="30"/>
      <c r="I36" s="30"/>
      <c r="J36" s="30"/>
      <c r="K36" s="30"/>
      <c r="L36" s="30"/>
      <c r="M36" s="30"/>
      <c r="N36" s="30"/>
      <c r="O36" s="31"/>
      <c r="R36" s="23">
        <f t="shared" si="21"/>
        <v>0</v>
      </c>
      <c r="S36" s="30">
        <f t="shared" si="22"/>
        <v>0</v>
      </c>
      <c r="T36" s="30" t="e">
        <f>#REF!</f>
        <v>#REF!</v>
      </c>
      <c r="U36" s="30" t="e">
        <f>#REF!</f>
        <v>#REF!</v>
      </c>
      <c r="V36" s="30" t="e">
        <f>#REF!</f>
        <v>#REF!</v>
      </c>
      <c r="W36" s="30" t="e">
        <f>#REF!</f>
        <v>#REF!</v>
      </c>
      <c r="X36" s="30" t="e">
        <f>#REF!</f>
        <v>#REF!</v>
      </c>
      <c r="Y36" s="31" t="e">
        <f aca="true" t="shared" si="23" ref="Y36:Y67">SUM(R36:X36)</f>
        <v>#REF!</v>
      </c>
    </row>
    <row r="37" spans="1:25" ht="12.75">
      <c r="A37" s="47" t="s">
        <v>68</v>
      </c>
      <c r="B37" s="24">
        <f t="shared" si="20"/>
        <v>112807.82000000002</v>
      </c>
      <c r="C37" s="24">
        <f>88365.26-3223-50000-35142.26</f>
        <v>0</v>
      </c>
      <c r="D37" s="25">
        <f>3223.1</f>
        <v>3223.1</v>
      </c>
      <c r="E37" s="24">
        <f>20196.84-6000</f>
        <v>14196.84</v>
      </c>
      <c r="F37" s="30">
        <f>25197.83-6000</f>
        <v>19197.83</v>
      </c>
      <c r="G37" s="30">
        <f>20326-6000</f>
        <v>14326</v>
      </c>
      <c r="H37" s="30">
        <f>14980.97-10000</f>
        <v>4980.969999999999</v>
      </c>
      <c r="I37" s="30">
        <f>19112.27-10000</f>
        <v>9112.27</v>
      </c>
      <c r="J37" s="30">
        <f>17719.19-10000</f>
        <v>7719.189999999999</v>
      </c>
      <c r="K37" s="30">
        <f>12422.1-10000</f>
        <v>2422.1000000000004</v>
      </c>
      <c r="L37" s="30">
        <f>27873.44-10000</f>
        <v>17873.44</v>
      </c>
      <c r="M37" s="30">
        <f>12422.1-10000</f>
        <v>2422.1000000000004</v>
      </c>
      <c r="N37" s="30">
        <f>19339.56-10000</f>
        <v>9339.560000000001</v>
      </c>
      <c r="O37" s="31">
        <f>17994.42-10000</f>
        <v>7994.419999999998</v>
      </c>
      <c r="R37" s="23">
        <f t="shared" si="21"/>
        <v>3223.1</v>
      </c>
      <c r="S37" s="30">
        <f t="shared" si="22"/>
        <v>109584.72000000002</v>
      </c>
      <c r="T37" s="30" t="e">
        <f>#REF!</f>
        <v>#REF!</v>
      </c>
      <c r="U37" s="30" t="e">
        <f>#REF!</f>
        <v>#REF!</v>
      </c>
      <c r="V37" s="30" t="e">
        <f>#REF!</f>
        <v>#REF!</v>
      </c>
      <c r="W37" s="30" t="e">
        <f>#REF!</f>
        <v>#REF!</v>
      </c>
      <c r="X37" s="30" t="e">
        <f>#REF!</f>
        <v>#REF!</v>
      </c>
      <c r="Y37" s="31" t="e">
        <f t="shared" si="23"/>
        <v>#REF!</v>
      </c>
    </row>
    <row r="38" spans="1:25" s="22" customFormat="1" ht="12.75">
      <c r="A38" s="50" t="s">
        <v>69</v>
      </c>
      <c r="B38" s="17">
        <f t="shared" si="20"/>
        <v>2197805.5</v>
      </c>
      <c r="C38" s="17">
        <f>937200-10594.5</f>
        <v>926605.5</v>
      </c>
      <c r="D38" s="51">
        <f>66000+10800</f>
        <v>76800</v>
      </c>
      <c r="E38" s="52">
        <v>205200</v>
      </c>
      <c r="F38" s="52">
        <v>117600</v>
      </c>
      <c r="G38" s="52">
        <v>46800</v>
      </c>
      <c r="H38" s="52">
        <v>75600</v>
      </c>
      <c r="I38" s="52">
        <v>62400</v>
      </c>
      <c r="J38" s="52">
        <v>97200</v>
      </c>
      <c r="K38" s="52">
        <v>102000</v>
      </c>
      <c r="L38" s="52">
        <v>236400</v>
      </c>
      <c r="M38" s="52">
        <v>20400</v>
      </c>
      <c r="N38" s="52">
        <v>203200</v>
      </c>
      <c r="O38" s="53">
        <v>27600</v>
      </c>
      <c r="R38" s="16">
        <f t="shared" si="21"/>
        <v>76800</v>
      </c>
      <c r="S38" s="52">
        <f t="shared" si="22"/>
        <v>1194400</v>
      </c>
      <c r="T38" s="52" t="e">
        <f>#REF!</f>
        <v>#REF!</v>
      </c>
      <c r="U38" s="52" t="e">
        <f>#REF!</f>
        <v>#REF!</v>
      </c>
      <c r="V38" s="52" t="e">
        <f>#REF!</f>
        <v>#REF!</v>
      </c>
      <c r="W38" s="52" t="e">
        <f>#REF!</f>
        <v>#REF!</v>
      </c>
      <c r="X38" s="52" t="e">
        <f>#REF!</f>
        <v>#REF!</v>
      </c>
      <c r="Y38" s="53" t="e">
        <f t="shared" si="23"/>
        <v>#REF!</v>
      </c>
    </row>
    <row r="39" spans="1:25" s="22" customFormat="1" ht="12.75">
      <c r="A39" s="50" t="s">
        <v>70</v>
      </c>
      <c r="B39" s="17">
        <f t="shared" si="20"/>
        <v>64000</v>
      </c>
      <c r="C39" s="17"/>
      <c r="D39" s="51">
        <v>64000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/>
      <c r="R39" s="16">
        <f t="shared" si="21"/>
        <v>64000</v>
      </c>
      <c r="S39" s="52">
        <f t="shared" si="22"/>
        <v>0</v>
      </c>
      <c r="T39" s="52" t="e">
        <f>#REF!</f>
        <v>#REF!</v>
      </c>
      <c r="U39" s="52" t="e">
        <f>#REF!</f>
        <v>#REF!</v>
      </c>
      <c r="V39" s="52" t="e">
        <f>#REF!</f>
        <v>#REF!</v>
      </c>
      <c r="W39" s="52" t="e">
        <f>#REF!</f>
        <v>#REF!</v>
      </c>
      <c r="X39" s="52" t="e">
        <f>#REF!</f>
        <v>#REF!</v>
      </c>
      <c r="Y39" s="53" t="e">
        <f t="shared" si="23"/>
        <v>#REF!</v>
      </c>
    </row>
    <row r="40" spans="1:25" ht="12.75">
      <c r="A40" s="50" t="s">
        <v>71</v>
      </c>
      <c r="B40" s="17">
        <f>SUM(B41:B60,B64,B71)</f>
        <v>5421704.866</v>
      </c>
      <c r="C40" s="17">
        <f>SUM(C41:C60,C64,C71)</f>
        <v>1384183.046</v>
      </c>
      <c r="D40" s="17">
        <f>SUM(D41:D60,D64,D71)+D72</f>
        <v>4887465.136</v>
      </c>
      <c r="E40" s="17">
        <f aca="true" t="shared" si="24" ref="E40:O40">SUM(E41:E60,E64,E71)</f>
        <v>65122.69</v>
      </c>
      <c r="F40" s="17">
        <f t="shared" si="24"/>
        <v>115614.66</v>
      </c>
      <c r="G40" s="17">
        <f t="shared" si="24"/>
        <v>31857.69</v>
      </c>
      <c r="H40" s="17">
        <f t="shared" si="24"/>
        <v>29679.809999999998</v>
      </c>
      <c r="I40" s="17">
        <f t="shared" si="24"/>
        <v>20628.309999999998</v>
      </c>
      <c r="J40" s="17">
        <f t="shared" si="24"/>
        <v>26042.43</v>
      </c>
      <c r="K40" s="17">
        <f t="shared" si="24"/>
        <v>14341.83</v>
      </c>
      <c r="L40" s="17">
        <f t="shared" si="24"/>
        <v>56121.21</v>
      </c>
      <c r="M40" s="17">
        <f t="shared" si="24"/>
        <v>15507.77</v>
      </c>
      <c r="N40" s="17">
        <f t="shared" si="24"/>
        <v>18449.43</v>
      </c>
      <c r="O40" s="19">
        <f t="shared" si="24"/>
        <v>15460.83</v>
      </c>
      <c r="P40" s="20"/>
      <c r="Q40" s="20"/>
      <c r="R40" s="21">
        <f aca="true" t="shared" si="25" ref="R40:X40">SUM(R41:R60,R64,R71)</f>
        <v>3628695.16</v>
      </c>
      <c r="S40" s="17">
        <f t="shared" si="25"/>
        <v>408826.66000000003</v>
      </c>
      <c r="T40" s="17" t="e">
        <f t="shared" si="25"/>
        <v>#REF!</v>
      </c>
      <c r="U40" s="17" t="e">
        <f t="shared" si="25"/>
        <v>#REF!</v>
      </c>
      <c r="V40" s="17" t="e">
        <f t="shared" si="25"/>
        <v>#REF!</v>
      </c>
      <c r="W40" s="17" t="e">
        <f t="shared" si="25"/>
        <v>#REF!</v>
      </c>
      <c r="X40" s="17" t="e">
        <f t="shared" si="25"/>
        <v>#REF!</v>
      </c>
      <c r="Y40" s="19" t="e">
        <f t="shared" si="23"/>
        <v>#REF!</v>
      </c>
    </row>
    <row r="41" spans="1:25" ht="12.75">
      <c r="A41" s="23" t="s">
        <v>72</v>
      </c>
      <c r="B41" s="24">
        <f aca="true" t="shared" si="26" ref="B41:B59">SUM(C41:O41)</f>
        <v>22289.28</v>
      </c>
      <c r="C41" s="17">
        <f>44578.56/2</f>
        <v>22289.28</v>
      </c>
      <c r="D41" s="25"/>
      <c r="E41" s="24">
        <v>0</v>
      </c>
      <c r="F41" s="24">
        <v>0</v>
      </c>
      <c r="G41" s="24">
        <v>0</v>
      </c>
      <c r="H41" s="24">
        <v>0</v>
      </c>
      <c r="I41" s="24"/>
      <c r="J41" s="24"/>
      <c r="K41" s="24"/>
      <c r="L41" s="24"/>
      <c r="M41" s="24"/>
      <c r="N41" s="24"/>
      <c r="O41" s="26"/>
      <c r="P41" s="27"/>
      <c r="Q41" s="27"/>
      <c r="R41" s="28">
        <f aca="true" t="shared" si="27" ref="R41:R59">D41</f>
        <v>0</v>
      </c>
      <c r="S41" s="24">
        <f aca="true" t="shared" si="28" ref="S41:S59">E41+F41+G41+H41+I41+J41+K41+L41+M41+N41+O41</f>
        <v>0</v>
      </c>
      <c r="T41" s="24" t="e">
        <f>#REF!</f>
        <v>#REF!</v>
      </c>
      <c r="U41" s="24" t="e">
        <f>#REF!</f>
        <v>#REF!</v>
      </c>
      <c r="V41" s="24" t="e">
        <f>#REF!</f>
        <v>#REF!</v>
      </c>
      <c r="W41" s="24" t="e">
        <f>#REF!</f>
        <v>#REF!</v>
      </c>
      <c r="X41" s="24" t="e">
        <f>#REF!</f>
        <v>#REF!</v>
      </c>
      <c r="Y41" s="26" t="e">
        <f t="shared" si="23"/>
        <v>#REF!</v>
      </c>
    </row>
    <row r="42" spans="1:25" ht="12.75">
      <c r="A42" s="23" t="s">
        <v>73</v>
      </c>
      <c r="B42" s="24">
        <f t="shared" si="26"/>
        <v>139021.63</v>
      </c>
      <c r="C42" s="17">
        <v>133492.03</v>
      </c>
      <c r="D42" s="25">
        <f>210*12*1.12</f>
        <v>2822.4</v>
      </c>
      <c r="E42" s="24">
        <v>270.72</v>
      </c>
      <c r="F42" s="30">
        <v>270.72</v>
      </c>
      <c r="G42" s="30"/>
      <c r="H42" s="30">
        <v>270.72</v>
      </c>
      <c r="I42" s="30">
        <v>270.72</v>
      </c>
      <c r="J42" s="30">
        <v>270.72</v>
      </c>
      <c r="K42" s="30">
        <v>270.72</v>
      </c>
      <c r="L42" s="30">
        <v>270.72</v>
      </c>
      <c r="M42" s="30">
        <v>270.72</v>
      </c>
      <c r="N42" s="30">
        <v>270.72</v>
      </c>
      <c r="O42" s="31">
        <v>270.72</v>
      </c>
      <c r="R42" s="23">
        <f t="shared" si="27"/>
        <v>2822.4</v>
      </c>
      <c r="S42" s="30">
        <f t="shared" si="28"/>
        <v>2707.2000000000007</v>
      </c>
      <c r="T42" s="30" t="e">
        <f>#REF!</f>
        <v>#REF!</v>
      </c>
      <c r="U42" s="30" t="e">
        <f>#REF!</f>
        <v>#REF!</v>
      </c>
      <c r="V42" s="30" t="e">
        <f>#REF!</f>
        <v>#REF!</v>
      </c>
      <c r="W42" s="30" t="e">
        <f>#REF!</f>
        <v>#REF!</v>
      </c>
      <c r="X42" s="30" t="e">
        <f>#REF!</f>
        <v>#REF!</v>
      </c>
      <c r="Y42" s="31" t="e">
        <f t="shared" si="23"/>
        <v>#REF!</v>
      </c>
    </row>
    <row r="43" spans="1:25" ht="12.75">
      <c r="A43" s="23" t="s">
        <v>74</v>
      </c>
      <c r="B43" s="24">
        <f t="shared" si="26"/>
        <v>3581937.62</v>
      </c>
      <c r="C43" s="17"/>
      <c r="D43" s="25">
        <v>3581937.62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R43" s="23">
        <f t="shared" si="27"/>
        <v>3581937.62</v>
      </c>
      <c r="S43" s="30">
        <f t="shared" si="28"/>
        <v>0</v>
      </c>
      <c r="T43" s="30" t="e">
        <f>#REF!</f>
        <v>#REF!</v>
      </c>
      <c r="U43" s="30" t="e">
        <f>#REF!</f>
        <v>#REF!</v>
      </c>
      <c r="V43" s="30" t="e">
        <f>#REF!</f>
        <v>#REF!</v>
      </c>
      <c r="W43" s="30" t="e">
        <f>#REF!</f>
        <v>#REF!</v>
      </c>
      <c r="X43" s="30" t="e">
        <f>#REF!</f>
        <v>#REF!</v>
      </c>
      <c r="Y43" s="31" t="e">
        <f t="shared" si="23"/>
        <v>#REF!</v>
      </c>
    </row>
    <row r="44" spans="1:25" ht="12.75">
      <c r="A44" s="23" t="s">
        <v>75</v>
      </c>
      <c r="B44" s="24">
        <f t="shared" si="26"/>
        <v>212066.07000000004</v>
      </c>
      <c r="C44" s="17"/>
      <c r="D44" s="25">
        <f>5269.1+18355.12</f>
        <v>23624.22</v>
      </c>
      <c r="E44" s="24">
        <v>40461.86</v>
      </c>
      <c r="F44" s="30">
        <v>95616.55</v>
      </c>
      <c r="G44" s="30">
        <v>10130.3</v>
      </c>
      <c r="H44" s="30">
        <v>10381.7</v>
      </c>
      <c r="I44" s="30">
        <v>1230.2</v>
      </c>
      <c r="J44" s="30">
        <v>4281.6</v>
      </c>
      <c r="K44" s="30">
        <v>1281</v>
      </c>
      <c r="L44" s="30">
        <v>14723.1</v>
      </c>
      <c r="M44" s="30">
        <v>7946.94</v>
      </c>
      <c r="N44" s="30">
        <v>2388.6</v>
      </c>
      <c r="O44" s="31"/>
      <c r="R44" s="23">
        <f t="shared" si="27"/>
        <v>23624.22</v>
      </c>
      <c r="S44" s="30">
        <f t="shared" si="28"/>
        <v>188441.85000000003</v>
      </c>
      <c r="T44" s="30" t="e">
        <f>#REF!</f>
        <v>#REF!</v>
      </c>
      <c r="U44" s="30" t="e">
        <f>#REF!</f>
        <v>#REF!</v>
      </c>
      <c r="V44" s="30" t="e">
        <f>#REF!</f>
        <v>#REF!</v>
      </c>
      <c r="W44" s="30" t="e">
        <f>#REF!</f>
        <v>#REF!</v>
      </c>
      <c r="X44" s="30" t="e">
        <f>#REF!</f>
        <v>#REF!</v>
      </c>
      <c r="Y44" s="31" t="e">
        <f t="shared" si="23"/>
        <v>#REF!</v>
      </c>
    </row>
    <row r="45" spans="1:25" ht="12.75">
      <c r="A45" s="23" t="s">
        <v>76</v>
      </c>
      <c r="B45" s="24">
        <f t="shared" si="26"/>
        <v>4800</v>
      </c>
      <c r="C45" s="24">
        <v>4800</v>
      </c>
      <c r="D45" s="54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R45" s="23">
        <f t="shared" si="27"/>
        <v>0</v>
      </c>
      <c r="S45" s="30">
        <f t="shared" si="28"/>
        <v>0</v>
      </c>
      <c r="T45" s="30" t="e">
        <f>#REF!</f>
        <v>#REF!</v>
      </c>
      <c r="U45" s="30" t="e">
        <f>#REF!</f>
        <v>#REF!</v>
      </c>
      <c r="V45" s="30" t="e">
        <f>#REF!</f>
        <v>#REF!</v>
      </c>
      <c r="W45" s="30" t="e">
        <f>#REF!</f>
        <v>#REF!</v>
      </c>
      <c r="X45" s="30" t="e">
        <f>#REF!</f>
        <v>#REF!</v>
      </c>
      <c r="Y45" s="31" t="e">
        <f t="shared" si="23"/>
        <v>#REF!</v>
      </c>
    </row>
    <row r="46" spans="1:25" ht="12.75">
      <c r="A46" s="23" t="s">
        <v>77</v>
      </c>
      <c r="B46" s="24">
        <f t="shared" si="26"/>
        <v>13900</v>
      </c>
      <c r="C46" s="24"/>
      <c r="D46" s="25">
        <f>67.7*7000-460000</f>
        <v>13900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R46" s="23">
        <f t="shared" si="27"/>
        <v>13900</v>
      </c>
      <c r="S46" s="30">
        <f t="shared" si="28"/>
        <v>0</v>
      </c>
      <c r="T46" s="30" t="e">
        <f>#REF!</f>
        <v>#REF!</v>
      </c>
      <c r="U46" s="30" t="e">
        <f>#REF!</f>
        <v>#REF!</v>
      </c>
      <c r="V46" s="30" t="e">
        <f>#REF!</f>
        <v>#REF!</v>
      </c>
      <c r="W46" s="30" t="e">
        <f>#REF!</f>
        <v>#REF!</v>
      </c>
      <c r="X46" s="30" t="e">
        <f>#REF!</f>
        <v>#REF!</v>
      </c>
      <c r="Y46" s="31" t="e">
        <f t="shared" si="23"/>
        <v>#REF!</v>
      </c>
    </row>
    <row r="47" spans="1:25" ht="12.75">
      <c r="A47" s="23" t="s">
        <v>78</v>
      </c>
      <c r="B47" s="24">
        <f t="shared" si="26"/>
        <v>28714.4</v>
      </c>
      <c r="C47" s="30">
        <v>28714.4</v>
      </c>
      <c r="D47" s="54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R47" s="23">
        <f t="shared" si="27"/>
        <v>0</v>
      </c>
      <c r="S47" s="30">
        <f t="shared" si="28"/>
        <v>0</v>
      </c>
      <c r="T47" s="30" t="e">
        <f>#REF!</f>
        <v>#REF!</v>
      </c>
      <c r="U47" s="30" t="e">
        <f>#REF!</f>
        <v>#REF!</v>
      </c>
      <c r="V47" s="30" t="e">
        <f>#REF!</f>
        <v>#REF!</v>
      </c>
      <c r="W47" s="30" t="e">
        <f>#REF!</f>
        <v>#REF!</v>
      </c>
      <c r="X47" s="30" t="e">
        <f>#REF!</f>
        <v>#REF!</v>
      </c>
      <c r="Y47" s="31" t="e">
        <f t="shared" si="23"/>
        <v>#REF!</v>
      </c>
    </row>
    <row r="48" spans="1:25" ht="12.75">
      <c r="A48" s="23" t="s">
        <v>79</v>
      </c>
      <c r="B48" s="24">
        <f t="shared" si="26"/>
        <v>17822.4</v>
      </c>
      <c r="C48" s="30">
        <v>17822.4</v>
      </c>
      <c r="D48" s="54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R48" s="23">
        <f t="shared" si="27"/>
        <v>0</v>
      </c>
      <c r="S48" s="30">
        <f t="shared" si="28"/>
        <v>0</v>
      </c>
      <c r="T48" s="30" t="e">
        <f>#REF!</f>
        <v>#REF!</v>
      </c>
      <c r="U48" s="30" t="e">
        <f>#REF!</f>
        <v>#REF!</v>
      </c>
      <c r="V48" s="30" t="e">
        <f>#REF!</f>
        <v>#REF!</v>
      </c>
      <c r="W48" s="30" t="e">
        <f>#REF!</f>
        <v>#REF!</v>
      </c>
      <c r="X48" s="30" t="e">
        <f>#REF!</f>
        <v>#REF!</v>
      </c>
      <c r="Y48" s="31" t="e">
        <f t="shared" si="23"/>
        <v>#REF!</v>
      </c>
    </row>
    <row r="49" spans="1:25" ht="12.75">
      <c r="A49" s="23" t="s">
        <v>80</v>
      </c>
      <c r="B49" s="24">
        <f t="shared" si="26"/>
        <v>365708.96400000004</v>
      </c>
      <c r="C49" s="30">
        <f>1223074.07-857365.106</f>
        <v>365708.96400000004</v>
      </c>
      <c r="D49" s="54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R49" s="23">
        <f t="shared" si="27"/>
        <v>0</v>
      </c>
      <c r="S49" s="30">
        <f t="shared" si="28"/>
        <v>0</v>
      </c>
      <c r="T49" s="30" t="e">
        <f>#REF!</f>
        <v>#REF!</v>
      </c>
      <c r="U49" s="30" t="e">
        <f>#REF!</f>
        <v>#REF!</v>
      </c>
      <c r="V49" s="30" t="e">
        <f>#REF!</f>
        <v>#REF!</v>
      </c>
      <c r="W49" s="30" t="e">
        <f>#REF!</f>
        <v>#REF!</v>
      </c>
      <c r="X49" s="30" t="e">
        <f>#REF!</f>
        <v>#REF!</v>
      </c>
      <c r="Y49" s="31" t="e">
        <f t="shared" si="23"/>
        <v>#REF!</v>
      </c>
    </row>
    <row r="50" spans="1:25" ht="12.75">
      <c r="A50" s="23" t="s">
        <v>81</v>
      </c>
      <c r="B50" s="24">
        <f t="shared" si="26"/>
        <v>10847</v>
      </c>
      <c r="C50" s="30">
        <v>10847</v>
      </c>
      <c r="D50" s="54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R50" s="23">
        <f t="shared" si="27"/>
        <v>0</v>
      </c>
      <c r="S50" s="30">
        <f t="shared" si="28"/>
        <v>0</v>
      </c>
      <c r="T50" s="30" t="e">
        <f>#REF!</f>
        <v>#REF!</v>
      </c>
      <c r="U50" s="30" t="e">
        <f>#REF!</f>
        <v>#REF!</v>
      </c>
      <c r="V50" s="30" t="e">
        <f>#REF!</f>
        <v>#REF!</v>
      </c>
      <c r="W50" s="30" t="e">
        <f>#REF!</f>
        <v>#REF!</v>
      </c>
      <c r="X50" s="30" t="e">
        <f>#REF!</f>
        <v>#REF!</v>
      </c>
      <c r="Y50" s="31" t="e">
        <f t="shared" si="23"/>
        <v>#REF!</v>
      </c>
    </row>
    <row r="51" spans="1:25" ht="12.75">
      <c r="A51" s="23" t="s">
        <v>82</v>
      </c>
      <c r="B51" s="24">
        <f t="shared" si="26"/>
        <v>3848.48</v>
      </c>
      <c r="C51" s="30">
        <v>3848.48</v>
      </c>
      <c r="D51" s="54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  <c r="R51" s="23">
        <f t="shared" si="27"/>
        <v>0</v>
      </c>
      <c r="S51" s="30">
        <f t="shared" si="28"/>
        <v>0</v>
      </c>
      <c r="T51" s="30" t="e">
        <f>#REF!</f>
        <v>#REF!</v>
      </c>
      <c r="U51" s="30" t="e">
        <f>#REF!</f>
        <v>#REF!</v>
      </c>
      <c r="V51" s="30" t="e">
        <f>#REF!</f>
        <v>#REF!</v>
      </c>
      <c r="W51" s="30" t="e">
        <f>#REF!</f>
        <v>#REF!</v>
      </c>
      <c r="X51" s="30" t="e">
        <f>#REF!</f>
        <v>#REF!</v>
      </c>
      <c r="Y51" s="31" t="e">
        <f t="shared" si="23"/>
        <v>#REF!</v>
      </c>
    </row>
    <row r="52" spans="1:25" ht="12.75">
      <c r="A52" s="23" t="s">
        <v>83</v>
      </c>
      <c r="B52" s="24">
        <f t="shared" si="26"/>
        <v>26880</v>
      </c>
      <c r="C52" s="30">
        <v>26880</v>
      </c>
      <c r="D52" s="54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R52" s="23">
        <f t="shared" si="27"/>
        <v>0</v>
      </c>
      <c r="S52" s="30">
        <f t="shared" si="28"/>
        <v>0</v>
      </c>
      <c r="T52" s="30" t="e">
        <f>#REF!</f>
        <v>#REF!</v>
      </c>
      <c r="U52" s="30" t="e">
        <f>#REF!</f>
        <v>#REF!</v>
      </c>
      <c r="V52" s="30" t="e">
        <f>#REF!</f>
        <v>#REF!</v>
      </c>
      <c r="W52" s="30" t="e">
        <f>#REF!</f>
        <v>#REF!</v>
      </c>
      <c r="X52" s="30" t="e">
        <f>#REF!</f>
        <v>#REF!</v>
      </c>
      <c r="Y52" s="31" t="e">
        <f t="shared" si="23"/>
        <v>#REF!</v>
      </c>
    </row>
    <row r="53" spans="1:25" ht="12.75">
      <c r="A53" s="23" t="s">
        <v>84</v>
      </c>
      <c r="B53" s="24">
        <f t="shared" si="26"/>
        <v>25300</v>
      </c>
      <c r="C53" s="30">
        <v>25300</v>
      </c>
      <c r="D53" s="54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R53" s="23">
        <f t="shared" si="27"/>
        <v>0</v>
      </c>
      <c r="S53" s="30">
        <f t="shared" si="28"/>
        <v>0</v>
      </c>
      <c r="T53" s="30" t="e">
        <f>#REF!</f>
        <v>#REF!</v>
      </c>
      <c r="U53" s="30" t="e">
        <f>#REF!</f>
        <v>#REF!</v>
      </c>
      <c r="V53" s="30" t="e">
        <f>#REF!</f>
        <v>#REF!</v>
      </c>
      <c r="W53" s="30" t="e">
        <f>#REF!</f>
        <v>#REF!</v>
      </c>
      <c r="X53" s="30" t="e">
        <f>#REF!</f>
        <v>#REF!</v>
      </c>
      <c r="Y53" s="31" t="e">
        <f t="shared" si="23"/>
        <v>#REF!</v>
      </c>
    </row>
    <row r="54" spans="1:25" ht="12.75">
      <c r="A54" s="23" t="s">
        <v>85</v>
      </c>
      <c r="B54" s="24">
        <f t="shared" si="26"/>
        <v>53400</v>
      </c>
      <c r="C54" s="30">
        <f>163400-30000-80000</f>
        <v>53400</v>
      </c>
      <c r="D54" s="54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  <c r="R54" s="23">
        <f t="shared" si="27"/>
        <v>0</v>
      </c>
      <c r="S54" s="30">
        <f t="shared" si="28"/>
        <v>0</v>
      </c>
      <c r="T54" s="30" t="e">
        <f>#REF!</f>
        <v>#REF!</v>
      </c>
      <c r="U54" s="30" t="e">
        <f>#REF!</f>
        <v>#REF!</v>
      </c>
      <c r="V54" s="30" t="e">
        <f>#REF!</f>
        <v>#REF!</v>
      </c>
      <c r="W54" s="30" t="e">
        <f>#REF!</f>
        <v>#REF!</v>
      </c>
      <c r="X54" s="30" t="e">
        <f>#REF!</f>
        <v>#REF!</v>
      </c>
      <c r="Y54" s="31" t="e">
        <f t="shared" si="23"/>
        <v>#REF!</v>
      </c>
    </row>
    <row r="55" spans="1:25" ht="12.75">
      <c r="A55" s="23" t="s">
        <v>86</v>
      </c>
      <c r="B55" s="24">
        <f t="shared" si="26"/>
        <v>74279.5</v>
      </c>
      <c r="C55" s="30">
        <v>74279.5</v>
      </c>
      <c r="D55" s="54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R55" s="23">
        <f t="shared" si="27"/>
        <v>0</v>
      </c>
      <c r="S55" s="30">
        <f t="shared" si="28"/>
        <v>0</v>
      </c>
      <c r="T55" s="30" t="e">
        <f>#REF!</f>
        <v>#REF!</v>
      </c>
      <c r="U55" s="30" t="e">
        <f>#REF!</f>
        <v>#REF!</v>
      </c>
      <c r="V55" s="30" t="e">
        <f>#REF!</f>
        <v>#REF!</v>
      </c>
      <c r="W55" s="30" t="e">
        <f>#REF!</f>
        <v>#REF!</v>
      </c>
      <c r="X55" s="30" t="e">
        <f>#REF!</f>
        <v>#REF!</v>
      </c>
      <c r="Y55" s="31" t="e">
        <f t="shared" si="23"/>
        <v>#REF!</v>
      </c>
    </row>
    <row r="56" spans="1:25" ht="12.75">
      <c r="A56" s="23" t="s">
        <v>87</v>
      </c>
      <c r="B56" s="24">
        <f t="shared" si="26"/>
        <v>5132.4</v>
      </c>
      <c r="C56" s="30">
        <v>5132.4</v>
      </c>
      <c r="D56" s="54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R56" s="23">
        <f t="shared" si="27"/>
        <v>0</v>
      </c>
      <c r="S56" s="30">
        <f t="shared" si="28"/>
        <v>0</v>
      </c>
      <c r="T56" s="30" t="e">
        <f>#REF!</f>
        <v>#REF!</v>
      </c>
      <c r="U56" s="30" t="e">
        <f>#REF!</f>
        <v>#REF!</v>
      </c>
      <c r="V56" s="30" t="e">
        <f>#REF!</f>
        <v>#REF!</v>
      </c>
      <c r="W56" s="30" t="e">
        <f>#REF!</f>
        <v>#REF!</v>
      </c>
      <c r="X56" s="30" t="e">
        <f>#REF!</f>
        <v>#REF!</v>
      </c>
      <c r="Y56" s="31" t="e">
        <f t="shared" si="23"/>
        <v>#REF!</v>
      </c>
    </row>
    <row r="57" spans="1:25" ht="12.75">
      <c r="A57" s="23" t="s">
        <v>88</v>
      </c>
      <c r="B57" s="24">
        <f t="shared" si="26"/>
        <v>10048</v>
      </c>
      <c r="C57" s="30">
        <v>10048</v>
      </c>
      <c r="D57" s="54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R57" s="23">
        <f t="shared" si="27"/>
        <v>0</v>
      </c>
      <c r="S57" s="30">
        <f t="shared" si="28"/>
        <v>0</v>
      </c>
      <c r="T57" s="30" t="e">
        <f>#REF!</f>
        <v>#REF!</v>
      </c>
      <c r="U57" s="30" t="e">
        <f>#REF!</f>
        <v>#REF!</v>
      </c>
      <c r="V57" s="30" t="e">
        <f>#REF!</f>
        <v>#REF!</v>
      </c>
      <c r="W57" s="30" t="e">
        <f>#REF!</f>
        <v>#REF!</v>
      </c>
      <c r="X57" s="30" t="e">
        <f>#REF!</f>
        <v>#REF!</v>
      </c>
      <c r="Y57" s="31" t="e">
        <f t="shared" si="23"/>
        <v>#REF!</v>
      </c>
    </row>
    <row r="58" spans="1:25" ht="12.75">
      <c r="A58" s="23" t="s">
        <v>89</v>
      </c>
      <c r="B58" s="24">
        <f t="shared" si="26"/>
        <v>44016.912</v>
      </c>
      <c r="C58" s="30">
        <f>44546-472.4*1.12</f>
        <v>44016.912</v>
      </c>
      <c r="D58" s="54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R58" s="23">
        <f t="shared" si="27"/>
        <v>0</v>
      </c>
      <c r="S58" s="30">
        <f t="shared" si="28"/>
        <v>0</v>
      </c>
      <c r="T58" s="30" t="e">
        <f>#REF!</f>
        <v>#REF!</v>
      </c>
      <c r="U58" s="30" t="e">
        <f>#REF!</f>
        <v>#REF!</v>
      </c>
      <c r="V58" s="30" t="e">
        <f>#REF!</f>
        <v>#REF!</v>
      </c>
      <c r="W58" s="30" t="e">
        <f>#REF!</f>
        <v>#REF!</v>
      </c>
      <c r="X58" s="30" t="e">
        <f>#REF!</f>
        <v>#REF!</v>
      </c>
      <c r="Y58" s="31" t="e">
        <f t="shared" si="23"/>
        <v>#REF!</v>
      </c>
    </row>
    <row r="59" spans="1:25" ht="12.75">
      <c r="A59" s="23" t="s">
        <v>90</v>
      </c>
      <c r="B59" s="24">
        <f t="shared" si="26"/>
        <v>39279.399999999994</v>
      </c>
      <c r="C59" s="30">
        <f>114279.4-75000</f>
        <v>39279.399999999994</v>
      </c>
      <c r="D59" s="54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/>
      <c r="R59" s="23">
        <f t="shared" si="27"/>
        <v>0</v>
      </c>
      <c r="S59" s="30">
        <f t="shared" si="28"/>
        <v>0</v>
      </c>
      <c r="T59" s="30" t="e">
        <f>#REF!</f>
        <v>#REF!</v>
      </c>
      <c r="U59" s="30" t="e">
        <f>#REF!</f>
        <v>#REF!</v>
      </c>
      <c r="V59" s="30" t="e">
        <f>#REF!</f>
        <v>#REF!</v>
      </c>
      <c r="W59" s="30" t="e">
        <f>#REF!</f>
        <v>#REF!</v>
      </c>
      <c r="X59" s="30" t="e">
        <f>#REF!</f>
        <v>#REF!</v>
      </c>
      <c r="Y59" s="31" t="e">
        <f t="shared" si="23"/>
        <v>#REF!</v>
      </c>
    </row>
    <row r="60" spans="1:25" s="44" customFormat="1" ht="12.75">
      <c r="A60" s="46" t="s">
        <v>91</v>
      </c>
      <c r="B60" s="39">
        <f aca="true" t="shared" si="29" ref="B60:O60">SUM(B61:B63)</f>
        <v>75719.39</v>
      </c>
      <c r="C60" s="39">
        <f t="shared" si="29"/>
        <v>12351.6</v>
      </c>
      <c r="D60" s="40">
        <f t="shared" si="29"/>
        <v>0</v>
      </c>
      <c r="E60" s="39">
        <f t="shared" si="29"/>
        <v>4016.49</v>
      </c>
      <c r="F60" s="39">
        <f t="shared" si="29"/>
        <v>7853.7699999999995</v>
      </c>
      <c r="G60" s="39">
        <f t="shared" si="29"/>
        <v>7853.7699999999995</v>
      </c>
      <c r="H60" s="39">
        <f t="shared" si="29"/>
        <v>7853.7699999999995</v>
      </c>
      <c r="I60" s="39">
        <f t="shared" si="29"/>
        <v>7853.7699999999995</v>
      </c>
      <c r="J60" s="39">
        <f t="shared" si="29"/>
        <v>4016.49</v>
      </c>
      <c r="K60" s="39">
        <f t="shared" si="29"/>
        <v>4016.49</v>
      </c>
      <c r="L60" s="39">
        <f t="shared" si="29"/>
        <v>7853.7699999999995</v>
      </c>
      <c r="M60" s="39">
        <f t="shared" si="29"/>
        <v>4016.49</v>
      </c>
      <c r="N60" s="39">
        <f t="shared" si="29"/>
        <v>4016.49</v>
      </c>
      <c r="O60" s="41">
        <f t="shared" si="29"/>
        <v>4016.49</v>
      </c>
      <c r="P60" s="42"/>
      <c r="Q60" s="42"/>
      <c r="R60" s="43">
        <f aca="true" t="shared" si="30" ref="R60:X60">SUM(R61:R63)</f>
        <v>0</v>
      </c>
      <c r="S60" s="39">
        <f t="shared" si="30"/>
        <v>63367.79000000001</v>
      </c>
      <c r="T60" s="39" t="e">
        <f t="shared" si="30"/>
        <v>#REF!</v>
      </c>
      <c r="U60" s="39" t="e">
        <f t="shared" si="30"/>
        <v>#REF!</v>
      </c>
      <c r="V60" s="39" t="e">
        <f t="shared" si="30"/>
        <v>#REF!</v>
      </c>
      <c r="W60" s="39" t="e">
        <f t="shared" si="30"/>
        <v>#REF!</v>
      </c>
      <c r="X60" s="39" t="e">
        <f t="shared" si="30"/>
        <v>#REF!</v>
      </c>
      <c r="Y60" s="41" t="e">
        <f t="shared" si="23"/>
        <v>#REF!</v>
      </c>
    </row>
    <row r="61" spans="1:25" ht="12.75">
      <c r="A61" s="55" t="s">
        <v>92</v>
      </c>
      <c r="B61" s="24">
        <f>SUM(C61:O61)</f>
        <v>12351.6</v>
      </c>
      <c r="C61" s="30">
        <v>12351.6</v>
      </c>
      <c r="D61" s="54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  <c r="R61" s="23">
        <f>D61</f>
        <v>0</v>
      </c>
      <c r="S61" s="30">
        <f>E61+F61+G61+H61+I61+J61+K61+L61+M61+N61+O61</f>
        <v>0</v>
      </c>
      <c r="T61" s="30" t="e">
        <f>#REF!</f>
        <v>#REF!</v>
      </c>
      <c r="U61" s="30" t="e">
        <f>#REF!</f>
        <v>#REF!</v>
      </c>
      <c r="V61" s="30" t="e">
        <f>#REF!</f>
        <v>#REF!</v>
      </c>
      <c r="W61" s="30" t="e">
        <f>#REF!</f>
        <v>#REF!</v>
      </c>
      <c r="X61" s="30" t="e">
        <f>#REF!</f>
        <v>#REF!</v>
      </c>
      <c r="Y61" s="31" t="e">
        <f t="shared" si="23"/>
        <v>#REF!</v>
      </c>
    </row>
    <row r="62" spans="1:25" ht="12.75">
      <c r="A62" s="55" t="s">
        <v>93</v>
      </c>
      <c r="B62" s="24">
        <f>SUM(C62:O62)</f>
        <v>49080.22000000001</v>
      </c>
      <c r="C62" s="30"/>
      <c r="D62" s="54"/>
      <c r="E62" s="30">
        <v>2717.62</v>
      </c>
      <c r="F62" s="30">
        <v>6554.9</v>
      </c>
      <c r="G62" s="30">
        <v>6554.9</v>
      </c>
      <c r="H62" s="30">
        <v>6554.9</v>
      </c>
      <c r="I62" s="30">
        <v>6554.9</v>
      </c>
      <c r="J62" s="30">
        <v>2717.62</v>
      </c>
      <c r="K62" s="30">
        <v>2717.62</v>
      </c>
      <c r="L62" s="30">
        <v>6554.9</v>
      </c>
      <c r="M62" s="30">
        <v>2717.62</v>
      </c>
      <c r="N62" s="30">
        <v>2717.62</v>
      </c>
      <c r="O62" s="31">
        <v>2717.62</v>
      </c>
      <c r="R62" s="23">
        <f>D62</f>
        <v>0</v>
      </c>
      <c r="S62" s="30">
        <f>E62+F62+G62+H62+I62+J62+K62+L62+M62+N62+O62</f>
        <v>49080.22000000001</v>
      </c>
      <c r="T62" s="30" t="e">
        <f>#REF!</f>
        <v>#REF!</v>
      </c>
      <c r="U62" s="30" t="e">
        <f>#REF!</f>
        <v>#REF!</v>
      </c>
      <c r="V62" s="30" t="e">
        <f>#REF!</f>
        <v>#REF!</v>
      </c>
      <c r="W62" s="30" t="e">
        <f>#REF!</f>
        <v>#REF!</v>
      </c>
      <c r="X62" s="30" t="e">
        <f>#REF!</f>
        <v>#REF!</v>
      </c>
      <c r="Y62" s="31" t="e">
        <f t="shared" si="23"/>
        <v>#REF!</v>
      </c>
    </row>
    <row r="63" spans="1:25" ht="12.75">
      <c r="A63" s="55" t="s">
        <v>94</v>
      </c>
      <c r="B63" s="24">
        <f>SUM(C63:O63)</f>
        <v>14287.569999999996</v>
      </c>
      <c r="C63" s="30"/>
      <c r="D63" s="54"/>
      <c r="E63" s="30">
        <v>1298.87</v>
      </c>
      <c r="F63" s="30">
        <v>1298.87</v>
      </c>
      <c r="G63" s="30">
        <v>1298.87</v>
      </c>
      <c r="H63" s="30">
        <v>1298.87</v>
      </c>
      <c r="I63" s="30">
        <v>1298.87</v>
      </c>
      <c r="J63" s="30">
        <v>1298.87</v>
      </c>
      <c r="K63" s="30">
        <v>1298.87</v>
      </c>
      <c r="L63" s="30">
        <v>1298.87</v>
      </c>
      <c r="M63" s="30">
        <v>1298.87</v>
      </c>
      <c r="N63" s="30">
        <v>1298.87</v>
      </c>
      <c r="O63" s="31">
        <v>1298.87</v>
      </c>
      <c r="R63" s="23">
        <f>D63</f>
        <v>0</v>
      </c>
      <c r="S63" s="30">
        <f>E63+F63+G63+H63+I63+J63+K63+L63+M63+N63+O63</f>
        <v>14287.569999999996</v>
      </c>
      <c r="T63" s="30" t="e">
        <f>#REF!</f>
        <v>#REF!</v>
      </c>
      <c r="U63" s="30" t="e">
        <f>#REF!</f>
        <v>#REF!</v>
      </c>
      <c r="V63" s="30" t="e">
        <f>#REF!</f>
        <v>#REF!</v>
      </c>
      <c r="W63" s="30" t="e">
        <f>#REF!</f>
        <v>#REF!</v>
      </c>
      <c r="X63" s="30" t="e">
        <f>#REF!</f>
        <v>#REF!</v>
      </c>
      <c r="Y63" s="31" t="e">
        <f t="shared" si="23"/>
        <v>#REF!</v>
      </c>
    </row>
    <row r="64" spans="1:25" s="44" customFormat="1" ht="12.75">
      <c r="A64" s="46" t="s">
        <v>95</v>
      </c>
      <c r="B64" s="39">
        <f aca="true" t="shared" si="31" ref="B64:O64">SUM(B65:B70)</f>
        <v>309693.42000000004</v>
      </c>
      <c r="C64" s="39">
        <f t="shared" si="31"/>
        <v>287072.68000000005</v>
      </c>
      <c r="D64" s="40">
        <f t="shared" si="31"/>
        <v>6410.92</v>
      </c>
      <c r="E64" s="39">
        <f t="shared" si="31"/>
        <v>1473.62</v>
      </c>
      <c r="F64" s="39">
        <f t="shared" si="31"/>
        <v>1473.62</v>
      </c>
      <c r="G64" s="39">
        <f t="shared" si="31"/>
        <v>1473.62</v>
      </c>
      <c r="H64" s="39">
        <f t="shared" si="31"/>
        <v>1473.62</v>
      </c>
      <c r="I64" s="39">
        <f t="shared" si="31"/>
        <v>1473.62</v>
      </c>
      <c r="J64" s="39">
        <f t="shared" si="31"/>
        <v>1473.62</v>
      </c>
      <c r="K64" s="39">
        <f t="shared" si="31"/>
        <v>1473.62</v>
      </c>
      <c r="L64" s="39">
        <f t="shared" si="31"/>
        <v>1473.62</v>
      </c>
      <c r="M64" s="39">
        <f t="shared" si="31"/>
        <v>1473.62</v>
      </c>
      <c r="N64" s="39">
        <f t="shared" si="31"/>
        <v>1473.62</v>
      </c>
      <c r="O64" s="41">
        <f t="shared" si="31"/>
        <v>1473.62</v>
      </c>
      <c r="P64" s="42"/>
      <c r="Q64" s="42"/>
      <c r="R64" s="43">
        <f aca="true" t="shared" si="32" ref="R64:X64">SUM(R65:R70)</f>
        <v>6410.92</v>
      </c>
      <c r="S64" s="39">
        <f t="shared" si="32"/>
        <v>16209.819999999996</v>
      </c>
      <c r="T64" s="39" t="e">
        <f t="shared" si="32"/>
        <v>#REF!</v>
      </c>
      <c r="U64" s="39" t="e">
        <f t="shared" si="32"/>
        <v>#REF!</v>
      </c>
      <c r="V64" s="39" t="e">
        <f t="shared" si="32"/>
        <v>#REF!</v>
      </c>
      <c r="W64" s="39" t="e">
        <f t="shared" si="32"/>
        <v>#REF!</v>
      </c>
      <c r="X64" s="39" t="e">
        <f t="shared" si="32"/>
        <v>#REF!</v>
      </c>
      <c r="Y64" s="41" t="e">
        <f t="shared" si="23"/>
        <v>#REF!</v>
      </c>
    </row>
    <row r="65" spans="1:25" ht="12.75">
      <c r="A65" s="55" t="s">
        <v>96</v>
      </c>
      <c r="B65" s="24">
        <f aca="true" t="shared" si="33" ref="B65:B71">SUM(C65:O65)</f>
        <v>1200</v>
      </c>
      <c r="C65" s="30"/>
      <c r="D65" s="54">
        <v>1200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1"/>
      <c r="R65" s="23">
        <f aca="true" t="shared" si="34" ref="R65:R72">D65</f>
        <v>1200</v>
      </c>
      <c r="S65" s="30">
        <f aca="true" t="shared" si="35" ref="S65:S71">E65+F65+G65+H65+I65+J65+K65+L65+M65+N65+O65</f>
        <v>0</v>
      </c>
      <c r="T65" s="30" t="e">
        <f>#REF!</f>
        <v>#REF!</v>
      </c>
      <c r="U65" s="30" t="e">
        <f>#REF!</f>
        <v>#REF!</v>
      </c>
      <c r="V65" s="30" t="e">
        <f>#REF!</f>
        <v>#REF!</v>
      </c>
      <c r="W65" s="30" t="e">
        <f>#REF!</f>
        <v>#REF!</v>
      </c>
      <c r="X65" s="30" t="e">
        <f>#REF!</f>
        <v>#REF!</v>
      </c>
      <c r="Y65" s="31" t="e">
        <f t="shared" si="23"/>
        <v>#REF!</v>
      </c>
    </row>
    <row r="66" spans="1:25" ht="12.75">
      <c r="A66" s="55" t="s">
        <v>97</v>
      </c>
      <c r="B66" s="24">
        <f t="shared" si="33"/>
        <v>1315.2</v>
      </c>
      <c r="C66" s="30">
        <v>1015.2</v>
      </c>
      <c r="D66" s="54">
        <v>300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/>
      <c r="R66" s="23">
        <f t="shared" si="34"/>
        <v>300</v>
      </c>
      <c r="S66" s="30">
        <f t="shared" si="35"/>
        <v>0</v>
      </c>
      <c r="T66" s="30" t="e">
        <f>#REF!</f>
        <v>#REF!</v>
      </c>
      <c r="U66" s="30" t="e">
        <f>#REF!</f>
        <v>#REF!</v>
      </c>
      <c r="V66" s="30" t="e">
        <f>#REF!</f>
        <v>#REF!</v>
      </c>
      <c r="W66" s="30" t="e">
        <f>#REF!</f>
        <v>#REF!</v>
      </c>
      <c r="X66" s="30" t="e">
        <f>#REF!</f>
        <v>#REF!</v>
      </c>
      <c r="Y66" s="31" t="e">
        <f t="shared" si="23"/>
        <v>#REF!</v>
      </c>
    </row>
    <row r="67" spans="1:25" ht="12.75">
      <c r="A67" s="55" t="s">
        <v>98</v>
      </c>
      <c r="B67" s="24">
        <f t="shared" si="33"/>
        <v>28572.15999999999</v>
      </c>
      <c r="C67" s="30">
        <v>10315.34</v>
      </c>
      <c r="D67" s="54">
        <v>2047</v>
      </c>
      <c r="E67" s="30">
        <v>1473.62</v>
      </c>
      <c r="F67" s="30">
        <v>1473.62</v>
      </c>
      <c r="G67" s="30">
        <v>1473.62</v>
      </c>
      <c r="H67" s="30">
        <v>1473.62</v>
      </c>
      <c r="I67" s="30">
        <v>1473.62</v>
      </c>
      <c r="J67" s="30">
        <v>1473.62</v>
      </c>
      <c r="K67" s="30">
        <v>1473.62</v>
      </c>
      <c r="L67" s="30">
        <v>1473.62</v>
      </c>
      <c r="M67" s="30">
        <v>1473.62</v>
      </c>
      <c r="N67" s="30">
        <v>1473.62</v>
      </c>
      <c r="O67" s="31">
        <v>1473.62</v>
      </c>
      <c r="R67" s="23">
        <f t="shared" si="34"/>
        <v>2047</v>
      </c>
      <c r="S67" s="30">
        <f t="shared" si="35"/>
        <v>16209.819999999996</v>
      </c>
      <c r="T67" s="30" t="e">
        <f>#REF!</f>
        <v>#REF!</v>
      </c>
      <c r="U67" s="30" t="e">
        <f>#REF!</f>
        <v>#REF!</v>
      </c>
      <c r="V67" s="30" t="e">
        <f>#REF!</f>
        <v>#REF!</v>
      </c>
      <c r="W67" s="30" t="e">
        <f>#REF!</f>
        <v>#REF!</v>
      </c>
      <c r="X67" s="30" t="e">
        <f>#REF!</f>
        <v>#REF!</v>
      </c>
      <c r="Y67" s="31" t="e">
        <f t="shared" si="23"/>
        <v>#REF!</v>
      </c>
    </row>
    <row r="68" spans="1:25" ht="12.75">
      <c r="A68" s="55" t="s">
        <v>99</v>
      </c>
      <c r="B68" s="24">
        <f t="shared" si="33"/>
        <v>229128.13</v>
      </c>
      <c r="C68" s="30">
        <f>229127.21-2541</f>
        <v>226586.21</v>
      </c>
      <c r="D68" s="54">
        <v>2541.92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1"/>
      <c r="R68" s="23">
        <f t="shared" si="34"/>
        <v>2541.92</v>
      </c>
      <c r="S68" s="30">
        <f t="shared" si="35"/>
        <v>0</v>
      </c>
      <c r="T68" s="30" t="e">
        <f>#REF!</f>
        <v>#REF!</v>
      </c>
      <c r="U68" s="30" t="e">
        <f>#REF!</f>
        <v>#REF!</v>
      </c>
      <c r="V68" s="30" t="e">
        <f>#REF!</f>
        <v>#REF!</v>
      </c>
      <c r="W68" s="30" t="e">
        <f>#REF!</f>
        <v>#REF!</v>
      </c>
      <c r="X68" s="30" t="e">
        <f>#REF!</f>
        <v>#REF!</v>
      </c>
      <c r="Y68" s="31" t="e">
        <f aca="true" t="shared" si="36" ref="Y68:Y75">SUM(R68:X68)</f>
        <v>#REF!</v>
      </c>
    </row>
    <row r="69" spans="1:25" ht="12.75">
      <c r="A69" s="55" t="s">
        <v>100</v>
      </c>
      <c r="B69" s="24">
        <f t="shared" si="33"/>
        <v>48857.53</v>
      </c>
      <c r="C69" s="30">
        <v>48535.53</v>
      </c>
      <c r="D69" s="54">
        <v>322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R69" s="23">
        <f t="shared" si="34"/>
        <v>322</v>
      </c>
      <c r="S69" s="30">
        <f t="shared" si="35"/>
        <v>0</v>
      </c>
      <c r="T69" s="30" t="e">
        <f>#REF!</f>
        <v>#REF!</v>
      </c>
      <c r="U69" s="30" t="e">
        <f>#REF!</f>
        <v>#REF!</v>
      </c>
      <c r="V69" s="30" t="e">
        <f>#REF!</f>
        <v>#REF!</v>
      </c>
      <c r="W69" s="30" t="e">
        <f>#REF!</f>
        <v>#REF!</v>
      </c>
      <c r="X69" s="30" t="e">
        <f>#REF!</f>
        <v>#REF!</v>
      </c>
      <c r="Y69" s="31" t="e">
        <f t="shared" si="36"/>
        <v>#REF!</v>
      </c>
    </row>
    <row r="70" spans="1:25" ht="12.75">
      <c r="A70" s="55" t="s">
        <v>101</v>
      </c>
      <c r="B70" s="24">
        <f t="shared" si="33"/>
        <v>620.4</v>
      </c>
      <c r="C70" s="30">
        <v>620.4</v>
      </c>
      <c r="D70" s="54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R70" s="23">
        <f t="shared" si="34"/>
        <v>0</v>
      </c>
      <c r="S70" s="30">
        <f t="shared" si="35"/>
        <v>0</v>
      </c>
      <c r="T70" s="30" t="e">
        <f>#REF!</f>
        <v>#REF!</v>
      </c>
      <c r="U70" s="30" t="e">
        <f>#REF!</f>
        <v>#REF!</v>
      </c>
      <c r="V70" s="30" t="e">
        <f>#REF!</f>
        <v>#REF!</v>
      </c>
      <c r="W70" s="30" t="e">
        <f>#REF!</f>
        <v>#REF!</v>
      </c>
      <c r="X70" s="30" t="e">
        <f>#REF!</f>
        <v>#REF!</v>
      </c>
      <c r="Y70" s="31" t="e">
        <f t="shared" si="36"/>
        <v>#REF!</v>
      </c>
    </row>
    <row r="71" spans="1:25" ht="12.75">
      <c r="A71" s="55" t="s">
        <v>102</v>
      </c>
      <c r="B71" s="24">
        <f t="shared" si="33"/>
        <v>357000</v>
      </c>
      <c r="C71" s="30">
        <v>218900</v>
      </c>
      <c r="D71" s="54"/>
      <c r="E71" s="30">
        <v>18900</v>
      </c>
      <c r="F71" s="30">
        <v>10400</v>
      </c>
      <c r="G71" s="30">
        <v>12400</v>
      </c>
      <c r="H71" s="30">
        <v>9700</v>
      </c>
      <c r="I71" s="30">
        <v>9800</v>
      </c>
      <c r="J71" s="30">
        <v>16000</v>
      </c>
      <c r="K71" s="30">
        <v>7300</v>
      </c>
      <c r="L71" s="30">
        <v>31800</v>
      </c>
      <c r="M71" s="30">
        <v>1800</v>
      </c>
      <c r="N71" s="30">
        <v>10300</v>
      </c>
      <c r="O71" s="31">
        <v>9700</v>
      </c>
      <c r="R71" s="23">
        <f t="shared" si="34"/>
        <v>0</v>
      </c>
      <c r="S71" s="30">
        <f t="shared" si="35"/>
        <v>138100</v>
      </c>
      <c r="T71" s="30" t="e">
        <f>#REF!</f>
        <v>#REF!</v>
      </c>
      <c r="U71" s="30" t="e">
        <f>#REF!</f>
        <v>#REF!</v>
      </c>
      <c r="V71" s="30" t="e">
        <f>#REF!</f>
        <v>#REF!</v>
      </c>
      <c r="W71" s="30" t="e">
        <f>#REF!</f>
        <v>#REF!</v>
      </c>
      <c r="X71" s="30" t="e">
        <f>#REF!</f>
        <v>#REF!</v>
      </c>
      <c r="Y71" s="31" t="e">
        <f t="shared" si="36"/>
        <v>#REF!</v>
      </c>
    </row>
    <row r="72" spans="1:25" ht="13.5" thickBot="1">
      <c r="A72" s="56" t="s">
        <v>103</v>
      </c>
      <c r="B72" s="57"/>
      <c r="C72" s="58"/>
      <c r="D72" s="59">
        <f>8573651.06*0.1+460000+6007.76+42.66-64645.55</f>
        <v>1258769.976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60"/>
      <c r="R72" s="61">
        <f t="shared" si="34"/>
        <v>1258769.976</v>
      </c>
      <c r="S72" s="57">
        <f>C75-R72-T72-U72-V72-W72-X72</f>
        <v>11716089.437869595</v>
      </c>
      <c r="T72" s="58">
        <v>689691.26</v>
      </c>
      <c r="U72" s="58">
        <v>1102130</v>
      </c>
      <c r="V72" s="58">
        <v>44718</v>
      </c>
      <c r="W72" s="58">
        <v>135172</v>
      </c>
      <c r="X72" s="58">
        <v>113317</v>
      </c>
      <c r="Y72" s="60">
        <f t="shared" si="36"/>
        <v>15059887.673869595</v>
      </c>
    </row>
    <row r="73" spans="1:25" s="22" customFormat="1" ht="12.75">
      <c r="A73" s="62" t="s">
        <v>104</v>
      </c>
      <c r="B73" s="63">
        <f aca="true" t="shared" si="37" ref="B73:O73">SUM(B14:B19,B22,B28,B38:B40)</f>
        <v>71752309.17549625</v>
      </c>
      <c r="C73" s="63">
        <f t="shared" si="37"/>
        <v>15012767.673869595</v>
      </c>
      <c r="D73" s="64">
        <f t="shared" si="37"/>
        <v>13417333.110024387</v>
      </c>
      <c r="E73" s="63">
        <f t="shared" si="37"/>
        <v>4990162.046021029</v>
      </c>
      <c r="F73" s="63">
        <f t="shared" si="37"/>
        <v>9349844.048048073</v>
      </c>
      <c r="G73" s="63">
        <f t="shared" si="37"/>
        <v>3095452.5119947656</v>
      </c>
      <c r="H73" s="63">
        <f t="shared" si="37"/>
        <v>1904181.2600514384</v>
      </c>
      <c r="I73" s="63">
        <f t="shared" si="37"/>
        <v>3373544.490138222</v>
      </c>
      <c r="J73" s="63">
        <f t="shared" si="37"/>
        <v>2844794.0269980086</v>
      </c>
      <c r="K73" s="63">
        <f t="shared" si="37"/>
        <v>1618806.1454518982</v>
      </c>
      <c r="L73" s="63">
        <f t="shared" si="37"/>
        <v>7080091.822111365</v>
      </c>
      <c r="M73" s="63">
        <f t="shared" si="37"/>
        <v>1636197.8211058117</v>
      </c>
      <c r="N73" s="63">
        <f t="shared" si="37"/>
        <v>4193081.812417363</v>
      </c>
      <c r="O73" s="65">
        <f t="shared" si="37"/>
        <v>4494822.383264294</v>
      </c>
      <c r="P73" s="20"/>
      <c r="Q73" s="20"/>
      <c r="R73" s="66">
        <f aca="true" t="shared" si="38" ref="R73:X73">SUM(R14:R19,R22,R28,R38:R40)+R72</f>
        <v>13417333.110024387</v>
      </c>
      <c r="S73" s="63">
        <f t="shared" si="38"/>
        <v>56297067.80547185</v>
      </c>
      <c r="T73" s="63" t="e">
        <f t="shared" si="38"/>
        <v>#REF!</v>
      </c>
      <c r="U73" s="63" t="e">
        <f t="shared" si="38"/>
        <v>#REF!</v>
      </c>
      <c r="V73" s="63" t="e">
        <f t="shared" si="38"/>
        <v>#REF!</v>
      </c>
      <c r="W73" s="63" t="e">
        <f t="shared" si="38"/>
        <v>#REF!</v>
      </c>
      <c r="X73" s="63" t="e">
        <f t="shared" si="38"/>
        <v>#REF!</v>
      </c>
      <c r="Y73" s="65" t="e">
        <f t="shared" si="36"/>
        <v>#REF!</v>
      </c>
    </row>
    <row r="74" spans="1:25" s="22" customFormat="1" ht="12.75">
      <c r="A74" s="16" t="s">
        <v>105</v>
      </c>
      <c r="B74" s="17" t="e">
        <f>E74+F74+G74+H74+#REF!+I74+J74+#REF!+K74+L74+M74+#REF!+N74+#REF!+#REF!+O74+D74+C74</f>
        <v>#REF!</v>
      </c>
      <c r="C74" s="17">
        <f>648900-600000-1780</f>
        <v>47120</v>
      </c>
      <c r="D74" s="25">
        <f>3095+(0.005*74012.55*2+104000/200*2)</f>
        <v>4875.1255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R74" s="16">
        <f>D74</f>
        <v>4875.1255</v>
      </c>
      <c r="S74" s="52">
        <f>E74+F74+G74+H74+I74+J74+K74+L74+M74+N74+O74</f>
        <v>0</v>
      </c>
      <c r="T74" s="52" t="e">
        <f>#REF!</f>
        <v>#REF!</v>
      </c>
      <c r="U74" s="52" t="e">
        <f>#REF!</f>
        <v>#REF!</v>
      </c>
      <c r="V74" s="52" t="e">
        <f>#REF!</f>
        <v>#REF!</v>
      </c>
      <c r="W74" s="52" t="e">
        <f>#REF!</f>
        <v>#REF!</v>
      </c>
      <c r="X74" s="52" t="e">
        <f>#REF!</f>
        <v>#REF!</v>
      </c>
      <c r="Y74" s="53" t="e">
        <f t="shared" si="36"/>
        <v>#REF!</v>
      </c>
    </row>
    <row r="75" spans="1:25" s="22" customFormat="1" ht="12.75">
      <c r="A75" s="16" t="s">
        <v>106</v>
      </c>
      <c r="B75" s="17" t="e">
        <f aca="true" t="shared" si="39" ref="B75:O75">SUM(B73:B74)</f>
        <v>#REF!</v>
      </c>
      <c r="C75" s="17">
        <f t="shared" si="39"/>
        <v>15059887.673869595</v>
      </c>
      <c r="D75" s="18">
        <f t="shared" si="39"/>
        <v>13422208.235524386</v>
      </c>
      <c r="E75" s="17">
        <f t="shared" si="39"/>
        <v>4990162.046021029</v>
      </c>
      <c r="F75" s="17">
        <f t="shared" si="39"/>
        <v>9349844.048048073</v>
      </c>
      <c r="G75" s="17">
        <f t="shared" si="39"/>
        <v>3095452.5119947656</v>
      </c>
      <c r="H75" s="17">
        <f t="shared" si="39"/>
        <v>1904181.2600514384</v>
      </c>
      <c r="I75" s="17">
        <f t="shared" si="39"/>
        <v>3373544.490138222</v>
      </c>
      <c r="J75" s="17">
        <f t="shared" si="39"/>
        <v>2844794.0269980086</v>
      </c>
      <c r="K75" s="17">
        <f t="shared" si="39"/>
        <v>1618806.1454518982</v>
      </c>
      <c r="L75" s="17">
        <f t="shared" si="39"/>
        <v>7080091.822111365</v>
      </c>
      <c r="M75" s="17">
        <f t="shared" si="39"/>
        <v>1636197.8211058117</v>
      </c>
      <c r="N75" s="17">
        <f t="shared" si="39"/>
        <v>4193081.812417363</v>
      </c>
      <c r="O75" s="19">
        <f t="shared" si="39"/>
        <v>4494822.383264294</v>
      </c>
      <c r="P75" s="20"/>
      <c r="Q75" s="20"/>
      <c r="R75" s="21">
        <f aca="true" t="shared" si="40" ref="R75:X75">SUM(R73:R74)</f>
        <v>13422208.235524386</v>
      </c>
      <c r="S75" s="17">
        <f t="shared" si="40"/>
        <v>56297067.80547185</v>
      </c>
      <c r="T75" s="17" t="e">
        <f t="shared" si="40"/>
        <v>#REF!</v>
      </c>
      <c r="U75" s="17" t="e">
        <f t="shared" si="40"/>
        <v>#REF!</v>
      </c>
      <c r="V75" s="17" t="e">
        <f t="shared" si="40"/>
        <v>#REF!</v>
      </c>
      <c r="W75" s="17" t="e">
        <f t="shared" si="40"/>
        <v>#REF!</v>
      </c>
      <c r="X75" s="17" t="e">
        <f t="shared" si="40"/>
        <v>#REF!</v>
      </c>
      <c r="Y75" s="19" t="e">
        <f t="shared" si="36"/>
        <v>#REF!</v>
      </c>
    </row>
    <row r="76" spans="1:25" ht="12.75">
      <c r="A76" s="23" t="s">
        <v>107</v>
      </c>
      <c r="B76" s="30">
        <v>1319.65</v>
      </c>
      <c r="C76" s="30"/>
      <c r="D76" s="54">
        <v>1271.16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/>
      <c r="R76" s="23">
        <v>1271.16</v>
      </c>
      <c r="S76" s="30">
        <v>1271.16</v>
      </c>
      <c r="T76" s="30">
        <v>1308.45</v>
      </c>
      <c r="U76" s="30">
        <v>1403.83</v>
      </c>
      <c r="V76" s="30">
        <v>4659.86</v>
      </c>
      <c r="W76" s="30">
        <v>2588.29</v>
      </c>
      <c r="X76" s="30">
        <v>2938.98</v>
      </c>
      <c r="Y76" s="31">
        <v>1319.65</v>
      </c>
    </row>
    <row r="77" spans="1:25" ht="12.75">
      <c r="A77" s="23" t="s">
        <v>108</v>
      </c>
      <c r="B77" s="30">
        <v>130.84571111577532</v>
      </c>
      <c r="C77" s="30"/>
      <c r="D77" s="54">
        <v>131.61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R77" s="67">
        <f aca="true" t="shared" si="41" ref="R77:Y77">R78/R76*100</f>
        <v>130.9795776961017</v>
      </c>
      <c r="S77" s="68">
        <f t="shared" si="41"/>
        <v>130.97948108828732</v>
      </c>
      <c r="T77" s="68" t="e">
        <f t="shared" si="41"/>
        <v>#REF!</v>
      </c>
      <c r="U77" s="68" t="e">
        <f t="shared" si="41"/>
        <v>#REF!</v>
      </c>
      <c r="V77" s="68" t="e">
        <f t="shared" si="41"/>
        <v>#REF!</v>
      </c>
      <c r="W77" s="68" t="e">
        <f t="shared" si="41"/>
        <v>#REF!</v>
      </c>
      <c r="X77" s="68" t="e">
        <f t="shared" si="41"/>
        <v>#REF!</v>
      </c>
      <c r="Y77" s="69" t="e">
        <f t="shared" si="41"/>
        <v>#REF!</v>
      </c>
    </row>
    <row r="78" spans="1:25" s="20" customFormat="1" ht="13.5" thickBot="1">
      <c r="A78" s="70" t="s">
        <v>109</v>
      </c>
      <c r="B78" s="71">
        <f>B76*B77/100*B4</f>
        <v>72304874.59083325</v>
      </c>
      <c r="C78" s="71">
        <f>C76*C77/100*C4</f>
        <v>0</v>
      </c>
      <c r="D78" s="72">
        <v>13486853.785524387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3"/>
      <c r="R78" s="70">
        <f aca="true" t="shared" si="42" ref="R78:Y78">R75/R4</f>
        <v>1664.9599998417664</v>
      </c>
      <c r="S78" s="71">
        <f t="shared" si="42"/>
        <v>1664.9587718018731</v>
      </c>
      <c r="T78" s="71" t="e">
        <f t="shared" si="42"/>
        <v>#REF!</v>
      </c>
      <c r="U78" s="71" t="e">
        <f t="shared" si="42"/>
        <v>#REF!</v>
      </c>
      <c r="V78" s="71" t="e">
        <f t="shared" si="42"/>
        <v>#REF!</v>
      </c>
      <c r="W78" s="71" t="e">
        <f t="shared" si="42"/>
        <v>#REF!</v>
      </c>
      <c r="X78" s="71" t="e">
        <f t="shared" si="42"/>
        <v>#REF!</v>
      </c>
      <c r="Y78" s="73" t="e">
        <f t="shared" si="42"/>
        <v>#REF!</v>
      </c>
    </row>
    <row r="79" spans="2:4" ht="12.75">
      <c r="B79" s="27"/>
      <c r="D79" s="74"/>
    </row>
    <row r="80" spans="18:23" ht="12.75">
      <c r="R80" s="8">
        <f aca="true" t="shared" si="43" ref="R80:W80">R78*1.18</f>
        <v>1964.6527998132842</v>
      </c>
      <c r="S80" s="8">
        <f t="shared" si="43"/>
        <v>1964.6513507262102</v>
      </c>
      <c r="T80" s="8" t="e">
        <f t="shared" si="43"/>
        <v>#REF!</v>
      </c>
      <c r="U80" s="8" t="e">
        <f t="shared" si="43"/>
        <v>#REF!</v>
      </c>
      <c r="V80" s="8" t="e">
        <f t="shared" si="43"/>
        <v>#REF!</v>
      </c>
      <c r="W80" s="8" t="e">
        <f t="shared" si="43"/>
        <v>#REF!</v>
      </c>
    </row>
    <row r="81" spans="1:25" ht="12.75">
      <c r="A81" s="75"/>
      <c r="B81" s="75"/>
      <c r="D81" s="74"/>
      <c r="R81" s="27"/>
      <c r="S81" s="27"/>
      <c r="T81" s="27"/>
      <c r="U81" s="27"/>
      <c r="V81" s="27"/>
      <c r="W81" s="27"/>
      <c r="X81" s="27"/>
      <c r="Y81" s="27"/>
    </row>
    <row r="82" spans="2:25" ht="12.75">
      <c r="B82" s="75"/>
      <c r="Y82" s="27"/>
    </row>
    <row r="83" spans="2:25" ht="12.75">
      <c r="B83" s="76">
        <f>B78/B4</f>
        <v>1726.7054267393291</v>
      </c>
      <c r="Y83" s="27"/>
    </row>
    <row r="84" spans="2:25" ht="12.75">
      <c r="B84" s="27">
        <f>B83*1.18</f>
        <v>2037.5124035524084</v>
      </c>
      <c r="C84" s="75"/>
      <c r="D84" s="77"/>
      <c r="R84" s="27"/>
      <c r="S84" s="27"/>
      <c r="T84" s="27"/>
      <c r="U84" s="27"/>
      <c r="V84" s="27"/>
      <c r="W84" s="27"/>
      <c r="X84" s="27"/>
      <c r="Y84" s="27"/>
    </row>
    <row r="86" spans="2:18" ht="12.75">
      <c r="B86" s="27"/>
      <c r="C86" s="27"/>
      <c r="D86" s="74"/>
      <c r="R86" s="27"/>
    </row>
    <row r="90" spans="2:3" ht="12.75">
      <c r="B90" s="27"/>
      <c r="C90" s="27"/>
    </row>
    <row r="91" spans="2:3" ht="12.75">
      <c r="B91" s="27"/>
      <c r="C91" s="27"/>
    </row>
    <row r="92" spans="2:3" ht="12.75">
      <c r="B92" s="27"/>
      <c r="C92" s="27"/>
    </row>
    <row r="93" spans="2:3" ht="12.75">
      <c r="B93" s="27"/>
      <c r="C93" s="27"/>
    </row>
    <row r="94" spans="2:3" ht="12.75">
      <c r="B94" s="27"/>
      <c r="C94" s="27"/>
    </row>
    <row r="95" spans="2:3" ht="12.75">
      <c r="B95" s="27"/>
      <c r="C95" s="27"/>
    </row>
    <row r="96" spans="2:3" ht="12.75">
      <c r="B96" s="27"/>
      <c r="C96" s="27"/>
    </row>
    <row r="97" spans="2:3" ht="12.75">
      <c r="B97" s="27"/>
      <c r="C97" s="27"/>
    </row>
    <row r="98" spans="2:3" ht="12.75">
      <c r="B98" s="27"/>
      <c r="C98" s="27"/>
    </row>
    <row r="99" spans="2:3" ht="12.75">
      <c r="B99" s="27"/>
      <c r="C99" s="27"/>
    </row>
    <row r="100" spans="2:3" ht="12.75">
      <c r="B100" s="27"/>
      <c r="C100" s="27"/>
    </row>
    <row r="101" spans="2:3" ht="12.75">
      <c r="B101" s="27"/>
      <c r="C101" s="27"/>
    </row>
    <row r="102" spans="2:3" ht="12.75">
      <c r="B102" s="27"/>
      <c r="C102" s="27"/>
    </row>
    <row r="103" spans="2:3" ht="12.75">
      <c r="B103" s="27"/>
      <c r="C103" s="27"/>
    </row>
    <row r="104" spans="2:3" ht="12.75">
      <c r="B104" s="27"/>
      <c r="C104" s="27"/>
    </row>
    <row r="105" spans="2:3" ht="12.75">
      <c r="B105" s="27"/>
      <c r="C105" s="27"/>
    </row>
    <row r="106" spans="2:3" ht="12.75">
      <c r="B106" s="27"/>
      <c r="C106" s="27"/>
    </row>
    <row r="107" spans="2:3" ht="12.75">
      <c r="B107" s="27"/>
      <c r="C107" s="27"/>
    </row>
    <row r="108" spans="2:3" ht="12.75">
      <c r="B108" s="27"/>
      <c r="C108" s="27"/>
    </row>
    <row r="109" spans="2:3" ht="12.75">
      <c r="B109" s="27"/>
      <c r="C109" s="20"/>
    </row>
  </sheetData>
  <printOptions/>
  <pageMargins left="0.3" right="0.18" top="1" bottom="1" header="0.5" footer="0.5"/>
  <pageSetup horizontalDpi="600" verticalDpi="600" orientation="portrait" paperSize="9" scale="61" r:id="rId1"/>
  <colBreaks count="2" manualBreakCount="2">
    <brk id="8" min="2" max="77" man="1"/>
    <brk id="15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120" zoomScaleNormal="120" workbookViewId="0" topLeftCell="A1">
      <selection activeCell="A11" sqref="A11:G14"/>
    </sheetView>
  </sheetViews>
  <sheetFormatPr defaultColWidth="9.00390625" defaultRowHeight="12.75"/>
  <cols>
    <col min="1" max="1" width="21.125" style="7" customWidth="1"/>
    <col min="2" max="16384" width="9.125" style="1" customWidth="1"/>
  </cols>
  <sheetData>
    <row r="1" spans="1:8" ht="12.75">
      <c r="A1" s="126" t="s">
        <v>11</v>
      </c>
      <c r="B1" s="126"/>
      <c r="C1" s="126"/>
      <c r="D1" s="126"/>
      <c r="E1" s="126"/>
      <c r="F1" s="126"/>
      <c r="G1" s="126"/>
      <c r="H1" s="126"/>
    </row>
    <row r="3" spans="1:8" s="2" customFormat="1" ht="12.75">
      <c r="A3" s="6" t="s">
        <v>0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5.5">
      <c r="A4" s="6" t="s">
        <v>111</v>
      </c>
      <c r="B4" s="4" t="s">
        <v>10</v>
      </c>
      <c r="C4" s="5" t="e">
        <f>#REF!</f>
        <v>#REF!</v>
      </c>
      <c r="D4" s="5">
        <f>уголь!B14</f>
        <v>757.1586527779098</v>
      </c>
      <c r="E4" s="5">
        <f>уголь!B28</f>
        <v>847.2601004403399</v>
      </c>
      <c r="F4" s="5">
        <f>уголь!B42</f>
        <v>1113.465391024789</v>
      </c>
      <c r="G4" s="5">
        <f>уголь!B57</f>
        <v>1348.678832548123</v>
      </c>
      <c r="H4" s="5">
        <f>уголь!B72</f>
        <v>1634.170552785893</v>
      </c>
    </row>
    <row r="5" spans="1:8" ht="25.5">
      <c r="A5" s="6" t="s">
        <v>1</v>
      </c>
      <c r="B5" s="4" t="s">
        <v>10</v>
      </c>
      <c r="C5" s="5" t="e">
        <f>C6-C4</f>
        <v>#REF!</v>
      </c>
      <c r="D5" s="5" t="e">
        <f>C5*1.111</f>
        <v>#REF!</v>
      </c>
      <c r="E5" s="5" t="e">
        <f>D5*1.1</f>
        <v>#REF!</v>
      </c>
      <c r="F5" s="5" t="e">
        <f>E5*1.109</f>
        <v>#REF!</v>
      </c>
      <c r="G5" s="5">
        <v>1774.75</v>
      </c>
      <c r="H5" s="5">
        <f>G5*1.107</f>
        <v>1964.64825</v>
      </c>
    </row>
    <row r="6" spans="1:8" ht="12.75">
      <c r="A6" s="6" t="s">
        <v>2</v>
      </c>
      <c r="B6" s="4" t="s">
        <v>10</v>
      </c>
      <c r="C6" s="81" t="e">
        <f>#REF!</f>
        <v>#REF!</v>
      </c>
      <c r="D6" s="5" t="e">
        <f>SUM(D4:D5)</f>
        <v>#REF!</v>
      </c>
      <c r="E6" s="5" t="e">
        <f>SUM(E4:E5)</f>
        <v>#REF!</v>
      </c>
      <c r="F6" s="5" t="e">
        <f>SUM(F4:F5)</f>
        <v>#REF!</v>
      </c>
      <c r="G6" s="5">
        <f>SUM(G4:G5)</f>
        <v>3123.428832548123</v>
      </c>
      <c r="H6" s="5">
        <f>SUM(H4:H5)</f>
        <v>3598.8188027858932</v>
      </c>
    </row>
    <row r="9" spans="1:8" ht="12.75">
      <c r="A9" s="126" t="s">
        <v>12</v>
      </c>
      <c r="B9" s="126"/>
      <c r="C9" s="126"/>
      <c r="D9" s="126"/>
      <c r="E9" s="126"/>
      <c r="F9" s="126"/>
      <c r="G9" s="126"/>
      <c r="H9" s="126"/>
    </row>
    <row r="11" spans="1:8" ht="12.75">
      <c r="A11" s="6" t="s">
        <v>0</v>
      </c>
      <c r="B11" s="3" t="s">
        <v>3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9</v>
      </c>
      <c r="H11" s="78"/>
    </row>
    <row r="12" spans="1:8" ht="25.5">
      <c r="A12" s="6" t="s">
        <v>111</v>
      </c>
      <c r="B12" s="4" t="s">
        <v>10</v>
      </c>
      <c r="C12" s="5">
        <f>газ!B14</f>
        <v>645.7508254653253</v>
      </c>
      <c r="D12" s="5">
        <f>газ!B28</f>
        <v>764.6602380305233</v>
      </c>
      <c r="E12" s="5">
        <f>газ!B42</f>
        <v>917.6668213792461</v>
      </c>
      <c r="F12" s="5">
        <f>газ!B57</f>
        <v>1088.1304480773085</v>
      </c>
      <c r="G12" s="5">
        <f>газ!B72</f>
        <v>1291.3830075619849</v>
      </c>
      <c r="H12" s="79"/>
    </row>
    <row r="13" spans="1:8" ht="25.5">
      <c r="A13" s="6" t="s">
        <v>1</v>
      </c>
      <c r="B13" s="4" t="s">
        <v>10</v>
      </c>
      <c r="C13" s="5" t="e">
        <f>C14-C12</f>
        <v>#REF!</v>
      </c>
      <c r="D13" s="5" t="e">
        <f>D14-D12</f>
        <v>#REF!</v>
      </c>
      <c r="E13" s="5" t="e">
        <f>E14-E12</f>
        <v>#REF!</v>
      </c>
      <c r="F13" s="5" t="e">
        <f>F14-F12</f>
        <v>#REF!</v>
      </c>
      <c r="G13" s="5" t="e">
        <f>G14-G12</f>
        <v>#REF!</v>
      </c>
      <c r="H13" s="79"/>
    </row>
    <row r="14" spans="1:8" ht="12.75">
      <c r="A14" s="6" t="s">
        <v>2</v>
      </c>
      <c r="B14" s="4" t="s">
        <v>10</v>
      </c>
      <c r="C14" s="5" t="e">
        <f>#REF!</f>
        <v>#REF!</v>
      </c>
      <c r="D14" s="5" t="e">
        <f>#REF!</f>
        <v>#REF!</v>
      </c>
      <c r="E14" s="5" t="e">
        <f>#REF!</f>
        <v>#REF!</v>
      </c>
      <c r="F14" s="5" t="e">
        <f>#REF!</f>
        <v>#REF!</v>
      </c>
      <c r="G14" s="5" t="e">
        <f>#REF!</f>
        <v>#REF!</v>
      </c>
      <c r="H14" s="79"/>
    </row>
  </sheetData>
  <mergeCells count="2">
    <mergeCell ref="A1:H1"/>
    <mergeCell ref="A9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5"/>
  <sheetViews>
    <sheetView workbookViewId="0" topLeftCell="A1">
      <pane xSplit="2" ySplit="13" topLeftCell="C14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A46" sqref="A46"/>
    </sheetView>
  </sheetViews>
  <sheetFormatPr defaultColWidth="9.00390625" defaultRowHeight="12.75"/>
  <cols>
    <col min="1" max="1" width="51.125" style="8" bestFit="1" customWidth="1"/>
    <col min="2" max="2" width="14.875" style="8" bestFit="1" customWidth="1"/>
    <col min="3" max="3" width="14.875" style="8" customWidth="1"/>
    <col min="4" max="4" width="15.875" style="8" customWidth="1"/>
    <col min="5" max="5" width="12.625" style="8" customWidth="1"/>
    <col min="6" max="13" width="14.125" style="8" customWidth="1"/>
    <col min="14" max="14" width="12.75390625" style="8" bestFit="1" customWidth="1"/>
    <col min="15" max="15" width="11.75390625" style="8" customWidth="1"/>
    <col min="16" max="16384" width="9.125" style="8" customWidth="1"/>
  </cols>
  <sheetData>
    <row r="2" spans="1:14" ht="13.5" thickBot="1">
      <c r="A2" s="8" t="s">
        <v>5</v>
      </c>
      <c r="N2" s="8" t="s">
        <v>13</v>
      </c>
    </row>
    <row r="3" spans="1:14" s="15" customFormat="1" ht="12.75">
      <c r="A3" s="10"/>
      <c r="B3" s="11" t="s">
        <v>15</v>
      </c>
      <c r="C3" s="11" t="s">
        <v>132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4" t="s">
        <v>28</v>
      </c>
    </row>
    <row r="4" spans="1:16" s="22" customFormat="1" ht="12.75">
      <c r="A4" s="16" t="s">
        <v>36</v>
      </c>
      <c r="B4" s="17">
        <f>SUM(C4:N4)</f>
        <v>41874.47</v>
      </c>
      <c r="C4" s="18">
        <f>8061.58</f>
        <v>8061.58</v>
      </c>
      <c r="D4" s="17">
        <v>3697.18</v>
      </c>
      <c r="E4" s="17">
        <v>8029.69</v>
      </c>
      <c r="F4" s="17">
        <v>2315.6</v>
      </c>
      <c r="G4" s="17">
        <v>1353.37</v>
      </c>
      <c r="H4" s="17">
        <v>2230.36</v>
      </c>
      <c r="I4" s="17">
        <v>2247.17</v>
      </c>
      <c r="J4" s="17">
        <v>649</v>
      </c>
      <c r="K4" s="17">
        <v>5702.91</v>
      </c>
      <c r="L4" s="17">
        <v>1112.2</v>
      </c>
      <c r="M4" s="17">
        <v>2769.11</v>
      </c>
      <c r="N4" s="19">
        <v>3706.3</v>
      </c>
      <c r="O4" s="20"/>
      <c r="P4" s="20"/>
    </row>
    <row r="5" spans="1:16" ht="12.75">
      <c r="A5" s="23" t="s">
        <v>37</v>
      </c>
      <c r="B5" s="17">
        <f>SUM(C5:N5)</f>
        <v>1238.5900000000001</v>
      </c>
      <c r="C5" s="25">
        <v>234.18</v>
      </c>
      <c r="D5" s="24">
        <v>111.98</v>
      </c>
      <c r="E5" s="24">
        <v>240.83</v>
      </c>
      <c r="F5" s="24">
        <v>63.69</v>
      </c>
      <c r="G5" s="24">
        <v>36.78</v>
      </c>
      <c r="H5" s="24">
        <v>69.27</v>
      </c>
      <c r="I5" s="24">
        <v>58.9</v>
      </c>
      <c r="J5" s="24">
        <v>24.11</v>
      </c>
      <c r="K5" s="24">
        <v>177.81</v>
      </c>
      <c r="L5" s="24">
        <v>29.03</v>
      </c>
      <c r="M5" s="24">
        <v>88.13</v>
      </c>
      <c r="N5" s="26">
        <v>103.88</v>
      </c>
      <c r="O5" s="27"/>
      <c r="P5" s="27"/>
    </row>
    <row r="6" spans="1:16" ht="12.75">
      <c r="A6" s="23" t="s">
        <v>38</v>
      </c>
      <c r="B6" s="17">
        <f>SUM(C6:N6)</f>
        <v>9732.72</v>
      </c>
      <c r="C6" s="25">
        <v>1695.85</v>
      </c>
      <c r="D6" s="24">
        <v>968.58</v>
      </c>
      <c r="E6" s="24">
        <v>2004.7</v>
      </c>
      <c r="F6" s="24">
        <v>338.09</v>
      </c>
      <c r="G6" s="24">
        <v>179.03</v>
      </c>
      <c r="H6" s="24">
        <v>655.7</v>
      </c>
      <c r="I6" s="24">
        <v>207.04</v>
      </c>
      <c r="J6" s="24">
        <v>355.65</v>
      </c>
      <c r="K6" s="24">
        <v>1705.79</v>
      </c>
      <c r="L6" s="24">
        <v>97.45</v>
      </c>
      <c r="M6" s="24">
        <v>903.01</v>
      </c>
      <c r="N6" s="26">
        <v>621.83</v>
      </c>
      <c r="O6" s="27"/>
      <c r="P6" s="27"/>
    </row>
    <row r="7" spans="1:16" s="22" customFormat="1" ht="12.75">
      <c r="A7" s="16" t="s">
        <v>39</v>
      </c>
      <c r="B7" s="17">
        <f>SUM(C7:N7)</f>
        <v>52845.780000000006</v>
      </c>
      <c r="C7" s="18">
        <f>C6+C5+C4</f>
        <v>9991.61</v>
      </c>
      <c r="D7" s="17">
        <f aca="true" t="shared" si="0" ref="D7:N7">D6+D5+D4</f>
        <v>4777.74</v>
      </c>
      <c r="E7" s="17">
        <f t="shared" si="0"/>
        <v>10275.22</v>
      </c>
      <c r="F7" s="17">
        <f t="shared" si="0"/>
        <v>2717.38</v>
      </c>
      <c r="G7" s="17">
        <f t="shared" si="0"/>
        <v>1569.1799999999998</v>
      </c>
      <c r="H7" s="17">
        <f t="shared" si="0"/>
        <v>2955.33</v>
      </c>
      <c r="I7" s="17">
        <f t="shared" si="0"/>
        <v>2513.11</v>
      </c>
      <c r="J7" s="17">
        <f t="shared" si="0"/>
        <v>1028.76</v>
      </c>
      <c r="K7" s="17">
        <f t="shared" si="0"/>
        <v>7586.51</v>
      </c>
      <c r="L7" s="17">
        <f t="shared" si="0"/>
        <v>1238.68</v>
      </c>
      <c r="M7" s="17">
        <f t="shared" si="0"/>
        <v>3760.25</v>
      </c>
      <c r="N7" s="19">
        <f t="shared" si="0"/>
        <v>4432.01</v>
      </c>
      <c r="O7" s="20"/>
      <c r="P7" s="20"/>
    </row>
    <row r="8" spans="1:16" ht="12.75">
      <c r="A8" s="16" t="s">
        <v>40</v>
      </c>
      <c r="B8" s="24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6"/>
      <c r="O8" s="27"/>
      <c r="P8" s="27"/>
    </row>
    <row r="9" spans="1:16" s="22" customFormat="1" ht="12.75">
      <c r="A9" s="16" t="s">
        <v>41</v>
      </c>
      <c r="B9" s="17">
        <f>SUM(C9:N9)</f>
        <v>27040473.568423</v>
      </c>
      <c r="C9" s="29">
        <f>C10*3059.3/1000</f>
        <v>4299202.870989</v>
      </c>
      <c r="D9" s="29">
        <f>D10*3059.3/1000</f>
        <v>2055772.138524</v>
      </c>
      <c r="E9" s="29">
        <f>E10*3059.3/1000</f>
        <v>4421234.952166</v>
      </c>
      <c r="F9" s="29">
        <f>F10*3059.3/1000</f>
        <v>1169237.782904</v>
      </c>
      <c r="G9" s="17">
        <f>G10*2274.58</f>
        <v>1005364.36</v>
      </c>
      <c r="H9" s="17">
        <f aca="true" t="shared" si="1" ref="H9:M9">H10*2274.58</f>
        <v>1892450.56</v>
      </c>
      <c r="I9" s="17">
        <f t="shared" si="1"/>
        <v>1610402.64</v>
      </c>
      <c r="J9" s="17">
        <f t="shared" si="1"/>
        <v>659628.2</v>
      </c>
      <c r="K9" s="17">
        <f t="shared" si="1"/>
        <v>4817560.4399999995</v>
      </c>
      <c r="L9" s="17">
        <f t="shared" si="1"/>
        <v>793828.4199999999</v>
      </c>
      <c r="M9" s="17">
        <f t="shared" si="1"/>
        <v>2408780.2199999997</v>
      </c>
      <c r="N9" s="29">
        <f>N10*3059.3/1000</f>
        <v>1907010.9838400001</v>
      </c>
      <c r="O9" s="20"/>
      <c r="P9" s="20"/>
    </row>
    <row r="10" spans="1:16" ht="15.75">
      <c r="A10" s="23" t="s">
        <v>110</v>
      </c>
      <c r="B10" s="24">
        <f>SUM(D10:N10)</f>
        <v>3128491.38</v>
      </c>
      <c r="C10" s="25">
        <f>ROUND(C7/(0.9*7900)*1000000,2)</f>
        <v>1405289.73</v>
      </c>
      <c r="D10" s="25">
        <f>ROUND(D7/(0.9*7900)*1000000,2)</f>
        <v>671974.68</v>
      </c>
      <c r="E10" s="25">
        <f>ROUND(E7/(0.9*7900)*1000000,2)</f>
        <v>1445178.62</v>
      </c>
      <c r="F10" s="25">
        <f>ROUND(F7/(0.9*7900)*1000000,2)</f>
        <v>382191.28</v>
      </c>
      <c r="G10" s="24">
        <f>ROUND(G7*213.2/5300*7000/1000,0)</f>
        <v>442</v>
      </c>
      <c r="H10" s="24">
        <f>ROUND(H7*213.2/5300*7000/1000,0)</f>
        <v>832</v>
      </c>
      <c r="I10" s="24">
        <f>ROUND(I7*213.2/5300*7000/1000,0)</f>
        <v>708</v>
      </c>
      <c r="J10" s="24">
        <f>ROUND(J7*213.2/5300*7000/1000,0)</f>
        <v>290</v>
      </c>
      <c r="K10" s="24">
        <f>ROUND(K7*211.4/5300*7000/1000,0)</f>
        <v>2118</v>
      </c>
      <c r="L10" s="24">
        <f>ROUND(L7*213.2/5300*7000/1000,0)</f>
        <v>349</v>
      </c>
      <c r="M10" s="24">
        <f>ROUND(M7*213.2/5300*7000/1000,0)</f>
        <v>1059</v>
      </c>
      <c r="N10" s="25">
        <f>ROUND(N7/(0.9*7900)*1000000,2)</f>
        <v>623348.8</v>
      </c>
      <c r="O10" s="27"/>
      <c r="P10" s="27"/>
    </row>
    <row r="11" spans="1:16" ht="12.75">
      <c r="A11" s="23" t="s">
        <v>42</v>
      </c>
      <c r="B11" s="24">
        <f>SUM(D11:N11)</f>
        <v>1945769.4915254237</v>
      </c>
      <c r="C11" s="25">
        <f>C13*3.3/1.18*120</f>
        <v>0</v>
      </c>
      <c r="D11" s="24"/>
      <c r="E11" s="24"/>
      <c r="F11" s="24"/>
      <c r="G11" s="24">
        <f aca="true" t="shared" si="2" ref="G11:M11">G10*3.3/1.18*120</f>
        <v>148332.2033898305</v>
      </c>
      <c r="H11" s="24">
        <f t="shared" si="2"/>
        <v>279213.55932203395</v>
      </c>
      <c r="I11" s="24">
        <f t="shared" si="2"/>
        <v>237600.00000000003</v>
      </c>
      <c r="J11" s="24">
        <f t="shared" si="2"/>
        <v>97322.03389830509</v>
      </c>
      <c r="K11" s="24">
        <f t="shared" si="2"/>
        <v>710786.4406779661</v>
      </c>
      <c r="L11" s="24">
        <f t="shared" si="2"/>
        <v>117122.03389830509</v>
      </c>
      <c r="M11" s="24">
        <f t="shared" si="2"/>
        <v>355393.22033898305</v>
      </c>
      <c r="N11" s="26"/>
      <c r="O11" s="27"/>
      <c r="P11" s="27"/>
    </row>
    <row r="12" spans="1:14" ht="12.75">
      <c r="A12" s="23" t="s">
        <v>43</v>
      </c>
      <c r="B12" s="24">
        <f>SUM(D12:N12)</f>
        <v>0</v>
      </c>
      <c r="C12" s="2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6" ht="12.75">
      <c r="A13" s="23" t="s">
        <v>44</v>
      </c>
      <c r="B13" s="24">
        <f>SUM(D13:N13)</f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6"/>
      <c r="O13" s="27"/>
      <c r="P13" s="27"/>
    </row>
    <row r="14" spans="1:3" ht="12.75">
      <c r="A14" s="8" t="s">
        <v>111</v>
      </c>
      <c r="B14" s="80">
        <f>B9/B4</f>
        <v>645.7508254653253</v>
      </c>
      <c r="C14" s="80"/>
    </row>
    <row r="15" spans="2:3" ht="12.75">
      <c r="B15" s="27"/>
      <c r="C15" s="27"/>
    </row>
    <row r="16" spans="1:14" ht="13.5" thickBot="1">
      <c r="A16" s="8" t="s">
        <v>6</v>
      </c>
      <c r="N16" s="8" t="s">
        <v>13</v>
      </c>
    </row>
    <row r="17" spans="1:14" s="15" customFormat="1" ht="12.75">
      <c r="A17" s="10"/>
      <c r="B17" s="11" t="s">
        <v>15</v>
      </c>
      <c r="C17" s="11"/>
      <c r="D17" s="13" t="s">
        <v>18</v>
      </c>
      <c r="E17" s="13" t="s">
        <v>19</v>
      </c>
      <c r="F17" s="13" t="s">
        <v>20</v>
      </c>
      <c r="G17" s="13" t="s">
        <v>21</v>
      </c>
      <c r="H17" s="13" t="s">
        <v>22</v>
      </c>
      <c r="I17" s="13" t="s">
        <v>23</v>
      </c>
      <c r="J17" s="13" t="s">
        <v>24</v>
      </c>
      <c r="K17" s="13" t="s">
        <v>25</v>
      </c>
      <c r="L17" s="13" t="s">
        <v>26</v>
      </c>
      <c r="M17" s="13" t="s">
        <v>27</v>
      </c>
      <c r="N17" s="14" t="s">
        <v>28</v>
      </c>
    </row>
    <row r="18" spans="1:16" s="22" customFormat="1" ht="12.75">
      <c r="A18" s="16" t="s">
        <v>36</v>
      </c>
      <c r="B18" s="17">
        <f>SUM(C18:N18)</f>
        <v>41874.47</v>
      </c>
      <c r="C18" s="18">
        <f>8061.58</f>
        <v>8061.58</v>
      </c>
      <c r="D18" s="17">
        <v>3697.18</v>
      </c>
      <c r="E18" s="17">
        <v>8029.69</v>
      </c>
      <c r="F18" s="17">
        <v>2315.6</v>
      </c>
      <c r="G18" s="17">
        <v>1353.37</v>
      </c>
      <c r="H18" s="17">
        <v>2230.36</v>
      </c>
      <c r="I18" s="17">
        <v>2247.17</v>
      </c>
      <c r="J18" s="17">
        <v>649</v>
      </c>
      <c r="K18" s="17">
        <v>5702.91</v>
      </c>
      <c r="L18" s="17">
        <v>1112.2</v>
      </c>
      <c r="M18" s="17">
        <v>2769.11</v>
      </c>
      <c r="N18" s="19">
        <v>3706.3</v>
      </c>
      <c r="O18" s="20"/>
      <c r="P18" s="20"/>
    </row>
    <row r="19" spans="1:16" ht="12.75">
      <c r="A19" s="23" t="s">
        <v>37</v>
      </c>
      <c r="B19" s="17">
        <f>SUM(C19:N19)</f>
        <v>1238.5900000000001</v>
      </c>
      <c r="C19" s="25">
        <v>234.18</v>
      </c>
      <c r="D19" s="24">
        <v>111.98</v>
      </c>
      <c r="E19" s="24">
        <v>240.83</v>
      </c>
      <c r="F19" s="24">
        <v>63.69</v>
      </c>
      <c r="G19" s="24">
        <v>36.78</v>
      </c>
      <c r="H19" s="24">
        <v>69.27</v>
      </c>
      <c r="I19" s="24">
        <v>58.9</v>
      </c>
      <c r="J19" s="24">
        <v>24.11</v>
      </c>
      <c r="K19" s="24">
        <v>177.81</v>
      </c>
      <c r="L19" s="24">
        <v>29.03</v>
      </c>
      <c r="M19" s="24">
        <v>88.13</v>
      </c>
      <c r="N19" s="26">
        <v>103.88</v>
      </c>
      <c r="O19" s="27"/>
      <c r="P19" s="27"/>
    </row>
    <row r="20" spans="1:16" ht="12.75">
      <c r="A20" s="23" t="s">
        <v>38</v>
      </c>
      <c r="B20" s="17">
        <f>SUM(C20:N20)</f>
        <v>9732.72</v>
      </c>
      <c r="C20" s="25">
        <v>1695.85</v>
      </c>
      <c r="D20" s="24">
        <v>968.58</v>
      </c>
      <c r="E20" s="24">
        <v>2004.7</v>
      </c>
      <c r="F20" s="24">
        <v>338.09</v>
      </c>
      <c r="G20" s="24">
        <v>179.03</v>
      </c>
      <c r="H20" s="24">
        <v>655.7</v>
      </c>
      <c r="I20" s="24">
        <v>207.04</v>
      </c>
      <c r="J20" s="24">
        <v>355.65</v>
      </c>
      <c r="K20" s="24">
        <v>1705.79</v>
      </c>
      <c r="L20" s="24">
        <v>97.45</v>
      </c>
      <c r="M20" s="24">
        <v>903.01</v>
      </c>
      <c r="N20" s="26">
        <v>621.83</v>
      </c>
      <c r="O20" s="27"/>
      <c r="P20" s="27"/>
    </row>
    <row r="21" spans="1:16" s="22" customFormat="1" ht="12.75">
      <c r="A21" s="16" t="s">
        <v>39</v>
      </c>
      <c r="B21" s="17">
        <f>SUM(C21:N21)</f>
        <v>52845.780000000006</v>
      </c>
      <c r="C21" s="18">
        <f aca="true" t="shared" si="3" ref="C21:N21">C20+C19+C18</f>
        <v>9991.61</v>
      </c>
      <c r="D21" s="17">
        <f t="shared" si="3"/>
        <v>4777.74</v>
      </c>
      <c r="E21" s="17">
        <f t="shared" si="3"/>
        <v>10275.22</v>
      </c>
      <c r="F21" s="17">
        <f t="shared" si="3"/>
        <v>2717.38</v>
      </c>
      <c r="G21" s="17">
        <f t="shared" si="3"/>
        <v>1569.1799999999998</v>
      </c>
      <c r="H21" s="17">
        <f t="shared" si="3"/>
        <v>2955.33</v>
      </c>
      <c r="I21" s="17">
        <f t="shared" si="3"/>
        <v>2513.11</v>
      </c>
      <c r="J21" s="17">
        <f t="shared" si="3"/>
        <v>1028.76</v>
      </c>
      <c r="K21" s="17">
        <f t="shared" si="3"/>
        <v>7586.51</v>
      </c>
      <c r="L21" s="17">
        <f t="shared" si="3"/>
        <v>1238.68</v>
      </c>
      <c r="M21" s="17">
        <f t="shared" si="3"/>
        <v>3760.25</v>
      </c>
      <c r="N21" s="19">
        <f t="shared" si="3"/>
        <v>4432.01</v>
      </c>
      <c r="O21" s="20"/>
      <c r="P21" s="20"/>
    </row>
    <row r="22" spans="1:16" ht="12.75">
      <c r="A22" s="16" t="s">
        <v>40</v>
      </c>
      <c r="B22" s="24"/>
      <c r="C22" s="2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6"/>
      <c r="O22" s="27"/>
      <c r="P22" s="27"/>
    </row>
    <row r="23" spans="1:16" s="22" customFormat="1" ht="12.75">
      <c r="A23" s="16" t="s">
        <v>41</v>
      </c>
      <c r="B23" s="17">
        <f>SUM(C23:N23)</f>
        <v>32019742.197602008</v>
      </c>
      <c r="C23" s="29">
        <f>C24*3518.2/1000</f>
        <v>4944090.328086</v>
      </c>
      <c r="D23" s="29">
        <f>D24*3518.2/1000</f>
        <v>2364141.319176</v>
      </c>
      <c r="E23" s="29">
        <f>E24*3518.2/1000</f>
        <v>5084427.420884</v>
      </c>
      <c r="F23" s="29">
        <f>F24*3518.2/1000</f>
        <v>1344625.361296</v>
      </c>
      <c r="G23" s="17">
        <f>G24*2774.99</f>
        <v>1226545.5799999998</v>
      </c>
      <c r="H23" s="17">
        <f aca="true" t="shared" si="4" ref="H23:M23">H24*2774.99</f>
        <v>2308791.6799999997</v>
      </c>
      <c r="I23" s="17">
        <f t="shared" si="4"/>
        <v>1964692.92</v>
      </c>
      <c r="J23" s="17">
        <f t="shared" si="4"/>
        <v>804747.1</v>
      </c>
      <c r="K23" s="17">
        <f t="shared" si="4"/>
        <v>5877428.819999999</v>
      </c>
      <c r="L23" s="17">
        <f t="shared" si="4"/>
        <v>968471.5099999999</v>
      </c>
      <c r="M23" s="17">
        <f t="shared" si="4"/>
        <v>2938714.4099999997</v>
      </c>
      <c r="N23" s="29">
        <f>N24*3518.2/1000</f>
        <v>2193065.74816</v>
      </c>
      <c r="O23" s="20"/>
      <c r="P23" s="20"/>
    </row>
    <row r="24" spans="1:16" ht="15.75">
      <c r="A24" s="23" t="s">
        <v>110</v>
      </c>
      <c r="B24" s="24">
        <f>SUM(D24:N24)</f>
        <v>3128491.38</v>
      </c>
      <c r="C24" s="25">
        <f>ROUND(C21/(0.9*7900)*1000000,2)</f>
        <v>1405289.73</v>
      </c>
      <c r="D24" s="25">
        <f>ROUND(D21/(0.9*7900)*1000000,2)</f>
        <v>671974.68</v>
      </c>
      <c r="E24" s="25">
        <f>ROUND(E21/(0.9*7900)*1000000,2)</f>
        <v>1445178.62</v>
      </c>
      <c r="F24" s="25">
        <f>ROUND(F21/(0.9*7900)*1000000,2)</f>
        <v>382191.28</v>
      </c>
      <c r="G24" s="24">
        <f>ROUND(G21*213.2/5300*7000/1000,0)</f>
        <v>442</v>
      </c>
      <c r="H24" s="24">
        <f>ROUND(H21*213.2/5300*7000/1000,0)</f>
        <v>832</v>
      </c>
      <c r="I24" s="24">
        <f>ROUND(I21*213.2/5300*7000/1000,0)</f>
        <v>708</v>
      </c>
      <c r="J24" s="24">
        <f>ROUND(J21*213.2/5300*7000/1000,0)</f>
        <v>290</v>
      </c>
      <c r="K24" s="24">
        <f>ROUND(K21*211.4/5300*7000/1000,0)</f>
        <v>2118</v>
      </c>
      <c r="L24" s="24">
        <f>ROUND(L21*213.2/5300*7000/1000,0)</f>
        <v>349</v>
      </c>
      <c r="M24" s="24">
        <f>ROUND(M21*213.2/5300*7000/1000,0)</f>
        <v>1059</v>
      </c>
      <c r="N24" s="25">
        <f>ROUND(N21/(0.9*7900)*1000000,2)</f>
        <v>623348.8</v>
      </c>
      <c r="O24" s="27"/>
      <c r="P24" s="27"/>
    </row>
    <row r="25" spans="1:16" ht="12.75">
      <c r="A25" s="23" t="s">
        <v>42</v>
      </c>
      <c r="B25" s="24">
        <f>SUM(D25:N25)</f>
        <v>1945769.4915254237</v>
      </c>
      <c r="C25" s="25">
        <f>C27*3.3/1.18*120</f>
        <v>0</v>
      </c>
      <c r="D25" s="24"/>
      <c r="E25" s="24"/>
      <c r="F25" s="24"/>
      <c r="G25" s="24">
        <f aca="true" t="shared" si="5" ref="G25:M25">G24*3.3/1.18*120</f>
        <v>148332.2033898305</v>
      </c>
      <c r="H25" s="24">
        <f t="shared" si="5"/>
        <v>279213.55932203395</v>
      </c>
      <c r="I25" s="24">
        <f t="shared" si="5"/>
        <v>237600.00000000003</v>
      </c>
      <c r="J25" s="24">
        <f t="shared" si="5"/>
        <v>97322.03389830509</v>
      </c>
      <c r="K25" s="24">
        <f t="shared" si="5"/>
        <v>710786.4406779661</v>
      </c>
      <c r="L25" s="24">
        <f t="shared" si="5"/>
        <v>117122.03389830509</v>
      </c>
      <c r="M25" s="24">
        <f t="shared" si="5"/>
        <v>355393.22033898305</v>
      </c>
      <c r="N25" s="26"/>
      <c r="O25" s="27"/>
      <c r="P25" s="27"/>
    </row>
    <row r="26" spans="1:14" ht="12.75">
      <c r="A26" s="23" t="s">
        <v>43</v>
      </c>
      <c r="B26" s="24">
        <f>SUM(D26:N26)</f>
        <v>0</v>
      </c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6" ht="12.75">
      <c r="A27" s="23" t="s">
        <v>44</v>
      </c>
      <c r="B27" s="24">
        <f>SUM(D27:N27)</f>
        <v>0</v>
      </c>
      <c r="C27" s="24"/>
      <c r="D27" s="24"/>
      <c r="E27" s="24"/>
      <c r="F27" s="24"/>
      <c r="G27" s="121"/>
      <c r="H27" s="121"/>
      <c r="I27" s="121"/>
      <c r="J27" s="121"/>
      <c r="K27" s="121"/>
      <c r="L27" s="121"/>
      <c r="M27" s="121"/>
      <c r="N27" s="26"/>
      <c r="O27" s="27"/>
      <c r="P27" s="27"/>
    </row>
    <row r="28" spans="1:13" ht="12.75">
      <c r="A28" s="8" t="s">
        <v>111</v>
      </c>
      <c r="B28" s="80">
        <f>B23/B18</f>
        <v>764.6602380305233</v>
      </c>
      <c r="C28" s="80"/>
      <c r="F28" s="27"/>
      <c r="G28" s="27"/>
      <c r="H28" s="27"/>
      <c r="I28" s="27"/>
      <c r="J28" s="27"/>
      <c r="K28" s="27"/>
      <c r="L28" s="27"/>
      <c r="M28" s="27"/>
    </row>
    <row r="29" spans="2:3" ht="12.75">
      <c r="B29" s="27"/>
      <c r="C29" s="27"/>
    </row>
    <row r="30" spans="1:14" ht="13.5" thickBot="1">
      <c r="A30" s="8" t="s">
        <v>7</v>
      </c>
      <c r="N30" s="8" t="s">
        <v>13</v>
      </c>
    </row>
    <row r="31" spans="1:14" s="15" customFormat="1" ht="12.75">
      <c r="A31" s="10"/>
      <c r="B31" s="11" t="s">
        <v>15</v>
      </c>
      <c r="C31" s="11"/>
      <c r="D31" s="13" t="s">
        <v>18</v>
      </c>
      <c r="E31" s="13" t="s">
        <v>19</v>
      </c>
      <c r="F31" s="13" t="s">
        <v>20</v>
      </c>
      <c r="G31" s="13" t="s">
        <v>21</v>
      </c>
      <c r="H31" s="13" t="s">
        <v>22</v>
      </c>
      <c r="I31" s="13" t="s">
        <v>23</v>
      </c>
      <c r="J31" s="13" t="s">
        <v>24</v>
      </c>
      <c r="K31" s="13" t="s">
        <v>25</v>
      </c>
      <c r="L31" s="13" t="s">
        <v>26</v>
      </c>
      <c r="M31" s="13" t="s">
        <v>27</v>
      </c>
      <c r="N31" s="14" t="s">
        <v>28</v>
      </c>
    </row>
    <row r="32" spans="1:16" s="22" customFormat="1" ht="12.75">
      <c r="A32" s="16" t="s">
        <v>36</v>
      </c>
      <c r="B32" s="17">
        <f>SUM(C32:N32)</f>
        <v>41874.47</v>
      </c>
      <c r="C32" s="18">
        <f>8061.58</f>
        <v>8061.58</v>
      </c>
      <c r="D32" s="17">
        <v>3697.18</v>
      </c>
      <c r="E32" s="17">
        <v>8029.69</v>
      </c>
      <c r="F32" s="17">
        <v>2315.6</v>
      </c>
      <c r="G32" s="17">
        <v>1353.37</v>
      </c>
      <c r="H32" s="17">
        <v>2230.36</v>
      </c>
      <c r="I32" s="17">
        <v>2247.17</v>
      </c>
      <c r="J32" s="17">
        <v>649</v>
      </c>
      <c r="K32" s="17">
        <v>5702.91</v>
      </c>
      <c r="L32" s="17">
        <v>1112.2</v>
      </c>
      <c r="M32" s="17">
        <v>2769.11</v>
      </c>
      <c r="N32" s="19">
        <v>3706.3</v>
      </c>
      <c r="O32" s="20"/>
      <c r="P32" s="20"/>
    </row>
    <row r="33" spans="1:16" ht="12.75">
      <c r="A33" s="23" t="s">
        <v>37</v>
      </c>
      <c r="B33" s="17">
        <f>SUM(C33:N33)</f>
        <v>1238.5900000000001</v>
      </c>
      <c r="C33" s="25">
        <v>234.18</v>
      </c>
      <c r="D33" s="24">
        <v>111.98</v>
      </c>
      <c r="E33" s="24">
        <v>240.83</v>
      </c>
      <c r="F33" s="24">
        <v>63.69</v>
      </c>
      <c r="G33" s="24">
        <v>36.78</v>
      </c>
      <c r="H33" s="24">
        <v>69.27</v>
      </c>
      <c r="I33" s="24">
        <v>58.9</v>
      </c>
      <c r="J33" s="24">
        <v>24.11</v>
      </c>
      <c r="K33" s="24">
        <v>177.81</v>
      </c>
      <c r="L33" s="24">
        <v>29.03</v>
      </c>
      <c r="M33" s="24">
        <v>88.13</v>
      </c>
      <c r="N33" s="26">
        <v>103.88</v>
      </c>
      <c r="O33" s="27"/>
      <c r="P33" s="27"/>
    </row>
    <row r="34" spans="1:16" ht="12.75">
      <c r="A34" s="23" t="s">
        <v>38</v>
      </c>
      <c r="B34" s="17">
        <f>SUM(C34:N34)</f>
        <v>9732.72</v>
      </c>
      <c r="C34" s="25">
        <v>1695.85</v>
      </c>
      <c r="D34" s="24">
        <v>968.58</v>
      </c>
      <c r="E34" s="24">
        <v>2004.7</v>
      </c>
      <c r="F34" s="24">
        <v>338.09</v>
      </c>
      <c r="G34" s="24">
        <v>179.03</v>
      </c>
      <c r="H34" s="24">
        <v>655.7</v>
      </c>
      <c r="I34" s="24">
        <v>207.04</v>
      </c>
      <c r="J34" s="24">
        <v>355.65</v>
      </c>
      <c r="K34" s="24">
        <v>1705.79</v>
      </c>
      <c r="L34" s="24">
        <v>97.45</v>
      </c>
      <c r="M34" s="24">
        <v>903.01</v>
      </c>
      <c r="N34" s="26">
        <v>621.83</v>
      </c>
      <c r="O34" s="27"/>
      <c r="P34" s="27"/>
    </row>
    <row r="35" spans="1:16" s="22" customFormat="1" ht="12.75">
      <c r="A35" s="16" t="s">
        <v>39</v>
      </c>
      <c r="B35" s="17">
        <f>SUM(C35:N35)</f>
        <v>52845.780000000006</v>
      </c>
      <c r="C35" s="18">
        <f aca="true" t="shared" si="6" ref="C35:N35">C34+C33+C32</f>
        <v>9991.61</v>
      </c>
      <c r="D35" s="17">
        <f t="shared" si="6"/>
        <v>4777.74</v>
      </c>
      <c r="E35" s="17">
        <f t="shared" si="6"/>
        <v>10275.22</v>
      </c>
      <c r="F35" s="17">
        <f t="shared" si="6"/>
        <v>2717.38</v>
      </c>
      <c r="G35" s="17">
        <f t="shared" si="6"/>
        <v>1569.1799999999998</v>
      </c>
      <c r="H35" s="17">
        <f t="shared" si="6"/>
        <v>2955.33</v>
      </c>
      <c r="I35" s="17">
        <f t="shared" si="6"/>
        <v>2513.11</v>
      </c>
      <c r="J35" s="17">
        <f t="shared" si="6"/>
        <v>1028.76</v>
      </c>
      <c r="K35" s="17">
        <f t="shared" si="6"/>
        <v>7586.51</v>
      </c>
      <c r="L35" s="17">
        <f t="shared" si="6"/>
        <v>1238.68</v>
      </c>
      <c r="M35" s="17">
        <f t="shared" si="6"/>
        <v>3760.25</v>
      </c>
      <c r="N35" s="19">
        <f t="shared" si="6"/>
        <v>4432.01</v>
      </c>
      <c r="O35" s="20"/>
      <c r="P35" s="20"/>
    </row>
    <row r="36" spans="1:16" ht="12.75">
      <c r="A36" s="16" t="s">
        <v>40</v>
      </c>
      <c r="B36" s="24"/>
      <c r="C36" s="2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6"/>
      <c r="O36" s="27"/>
      <c r="P36" s="27"/>
    </row>
    <row r="37" spans="1:16" s="22" customFormat="1" ht="12.75">
      <c r="A37" s="16" t="s">
        <v>41</v>
      </c>
      <c r="B37" s="17">
        <f>SUM(C37:N37)</f>
        <v>38426811.7818406</v>
      </c>
      <c r="C37" s="29">
        <f>C38*4151.46/1000</f>
        <v>5834004.1025058</v>
      </c>
      <c r="D37" s="29">
        <f>D38*4151.46/1000</f>
        <v>2789676.0050328</v>
      </c>
      <c r="E37" s="29">
        <f>E38*4151.46/1000</f>
        <v>5999601.2337852</v>
      </c>
      <c r="F37" s="29">
        <f>F38*4151.46/1000</f>
        <v>1586651.8112688</v>
      </c>
      <c r="G37" s="17">
        <f>G38*3385.49</f>
        <v>1496386.5799999998</v>
      </c>
      <c r="H37" s="17">
        <f aca="true" t="shared" si="7" ref="H37:M37">H38*3385.49</f>
        <v>2816727.6799999997</v>
      </c>
      <c r="I37" s="17">
        <f t="shared" si="7"/>
        <v>2396926.92</v>
      </c>
      <c r="J37" s="17">
        <f t="shared" si="7"/>
        <v>981792.1</v>
      </c>
      <c r="K37" s="17">
        <f t="shared" si="7"/>
        <v>7170467.819999999</v>
      </c>
      <c r="L37" s="17">
        <f t="shared" si="7"/>
        <v>1181536.01</v>
      </c>
      <c r="M37" s="17">
        <f t="shared" si="7"/>
        <v>3585233.9099999997</v>
      </c>
      <c r="N37" s="29">
        <f>N38*4151.46/1000</f>
        <v>2587807.609248</v>
      </c>
      <c r="O37" s="20"/>
      <c r="P37" s="20"/>
    </row>
    <row r="38" spans="1:16" ht="15.75">
      <c r="A38" s="23" t="s">
        <v>110</v>
      </c>
      <c r="B38" s="24">
        <f>SUM(D38:N38)</f>
        <v>3128491.38</v>
      </c>
      <c r="C38" s="25">
        <f>ROUND(C35/(0.9*7900)*1000000,2)</f>
        <v>1405289.73</v>
      </c>
      <c r="D38" s="25">
        <f>ROUND(D35/(0.9*7900)*1000000,2)</f>
        <v>671974.68</v>
      </c>
      <c r="E38" s="25">
        <f>ROUND(E35/(0.9*7900)*1000000,2)</f>
        <v>1445178.62</v>
      </c>
      <c r="F38" s="25">
        <f>ROUND(F35/(0.9*7900)*1000000,2)</f>
        <v>382191.28</v>
      </c>
      <c r="G38" s="24">
        <f>ROUND(G35*213.2/5300*7000/1000,0)</f>
        <v>442</v>
      </c>
      <c r="H38" s="24">
        <f>ROUND(H35*213.2/5300*7000/1000,0)</f>
        <v>832</v>
      </c>
      <c r="I38" s="24">
        <f>ROUND(I35*213.2/5300*7000/1000,0)</f>
        <v>708</v>
      </c>
      <c r="J38" s="24">
        <f>ROUND(J35*213.2/5300*7000/1000,0)</f>
        <v>290</v>
      </c>
      <c r="K38" s="24">
        <f>ROUND(K35*211.4/5300*7000/1000,0)</f>
        <v>2118</v>
      </c>
      <c r="L38" s="24">
        <f>ROUND(L35*213.2/5300*7000/1000,0)</f>
        <v>349</v>
      </c>
      <c r="M38" s="24">
        <f>ROUND(M35*213.2/5300*7000/1000,0)</f>
        <v>1059</v>
      </c>
      <c r="N38" s="25">
        <f>ROUND(N35/(0.9*7900)*1000000,2)</f>
        <v>623348.8</v>
      </c>
      <c r="O38" s="27"/>
      <c r="P38" s="27"/>
    </row>
    <row r="39" spans="1:16" ht="12.75">
      <c r="A39" s="23" t="s">
        <v>42</v>
      </c>
      <c r="B39" s="24">
        <f>SUM(D39:N39)</f>
        <v>1945769.4915254237</v>
      </c>
      <c r="C39" s="25">
        <f>C41*3.3/1.18*120</f>
        <v>0</v>
      </c>
      <c r="D39" s="24"/>
      <c r="E39" s="24"/>
      <c r="F39" s="24"/>
      <c r="G39" s="24">
        <f aca="true" t="shared" si="8" ref="G39:M39">G38*3.3/1.18*120</f>
        <v>148332.2033898305</v>
      </c>
      <c r="H39" s="24">
        <f t="shared" si="8"/>
        <v>279213.55932203395</v>
      </c>
      <c r="I39" s="24">
        <f t="shared" si="8"/>
        <v>237600.00000000003</v>
      </c>
      <c r="J39" s="24">
        <f t="shared" si="8"/>
        <v>97322.03389830509</v>
      </c>
      <c r="K39" s="24">
        <f t="shared" si="8"/>
        <v>710786.4406779661</v>
      </c>
      <c r="L39" s="24">
        <f t="shared" si="8"/>
        <v>117122.03389830509</v>
      </c>
      <c r="M39" s="24">
        <f t="shared" si="8"/>
        <v>355393.22033898305</v>
      </c>
      <c r="N39" s="26"/>
      <c r="O39" s="27"/>
      <c r="P39" s="27"/>
    </row>
    <row r="40" spans="1:14" ht="12.75">
      <c r="A40" s="23" t="s">
        <v>43</v>
      </c>
      <c r="B40" s="24">
        <f>SUM(D40:N40)</f>
        <v>0</v>
      </c>
      <c r="C40" s="24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1" spans="1:16" ht="12.75">
      <c r="A41" s="23" t="s">
        <v>44</v>
      </c>
      <c r="B41" s="24">
        <f>SUM(D41:N41)</f>
        <v>0</v>
      </c>
      <c r="C41" s="24"/>
      <c r="D41" s="24"/>
      <c r="E41" s="24"/>
      <c r="F41" s="24"/>
      <c r="G41" s="121"/>
      <c r="H41" s="121"/>
      <c r="I41" s="121"/>
      <c r="J41" s="121"/>
      <c r="K41" s="121"/>
      <c r="L41" s="121"/>
      <c r="M41" s="121"/>
      <c r="N41" s="26"/>
      <c r="O41" s="27"/>
      <c r="P41" s="27"/>
    </row>
    <row r="42" spans="1:13" ht="12.75">
      <c r="A42" s="8" t="s">
        <v>111</v>
      </c>
      <c r="B42" s="80">
        <f>B37/B32</f>
        <v>917.6668213792461</v>
      </c>
      <c r="C42" s="80"/>
      <c r="F42" s="27"/>
      <c r="G42" s="27"/>
      <c r="H42" s="27"/>
      <c r="I42" s="27"/>
      <c r="J42" s="27"/>
      <c r="K42" s="27"/>
      <c r="L42" s="27"/>
      <c r="M42" s="27"/>
    </row>
    <row r="45" spans="1:14" ht="13.5" thickBot="1">
      <c r="A45" s="8" t="s">
        <v>8</v>
      </c>
      <c r="N45" s="8" t="s">
        <v>13</v>
      </c>
    </row>
    <row r="46" spans="1:14" s="15" customFormat="1" ht="12.75">
      <c r="A46" s="10"/>
      <c r="B46" s="11" t="s">
        <v>15</v>
      </c>
      <c r="C46" s="11"/>
      <c r="D46" s="13" t="s">
        <v>18</v>
      </c>
      <c r="E46" s="13" t="s">
        <v>19</v>
      </c>
      <c r="F46" s="13" t="s">
        <v>20</v>
      </c>
      <c r="G46" s="13" t="s">
        <v>21</v>
      </c>
      <c r="H46" s="13" t="s">
        <v>22</v>
      </c>
      <c r="I46" s="13" t="s">
        <v>23</v>
      </c>
      <c r="J46" s="13" t="s">
        <v>24</v>
      </c>
      <c r="K46" s="13" t="s">
        <v>25</v>
      </c>
      <c r="L46" s="13" t="s">
        <v>26</v>
      </c>
      <c r="M46" s="13" t="s">
        <v>27</v>
      </c>
      <c r="N46" s="14" t="s">
        <v>28</v>
      </c>
    </row>
    <row r="47" spans="1:16" s="22" customFormat="1" ht="12.75">
      <c r="A47" s="16" t="s">
        <v>36</v>
      </c>
      <c r="B47" s="17">
        <f>SUM(C47:N47)</f>
        <v>41874.47</v>
      </c>
      <c r="C47" s="18">
        <f>8061.58</f>
        <v>8061.58</v>
      </c>
      <c r="D47" s="17">
        <v>3697.18</v>
      </c>
      <c r="E47" s="17">
        <v>8029.69</v>
      </c>
      <c r="F47" s="17">
        <v>2315.6</v>
      </c>
      <c r="G47" s="17">
        <v>1353.37</v>
      </c>
      <c r="H47" s="17">
        <v>2230.36</v>
      </c>
      <c r="I47" s="17">
        <v>2247.17</v>
      </c>
      <c r="J47" s="17">
        <v>649</v>
      </c>
      <c r="K47" s="17">
        <v>5702.91</v>
      </c>
      <c r="L47" s="17">
        <v>1112.2</v>
      </c>
      <c r="M47" s="17">
        <v>2769.11</v>
      </c>
      <c r="N47" s="19">
        <v>3706.3</v>
      </c>
      <c r="O47" s="20"/>
      <c r="P47" s="20"/>
    </row>
    <row r="48" spans="1:16" ht="12.75">
      <c r="A48" s="23" t="s">
        <v>37</v>
      </c>
      <c r="B48" s="17">
        <f>SUM(C48:N48)</f>
        <v>1238.5900000000001</v>
      </c>
      <c r="C48" s="25">
        <v>234.18</v>
      </c>
      <c r="D48" s="24">
        <v>111.98</v>
      </c>
      <c r="E48" s="24">
        <v>240.83</v>
      </c>
      <c r="F48" s="24">
        <v>63.69</v>
      </c>
      <c r="G48" s="24">
        <v>36.78</v>
      </c>
      <c r="H48" s="24">
        <v>69.27</v>
      </c>
      <c r="I48" s="24">
        <v>58.9</v>
      </c>
      <c r="J48" s="24">
        <v>24.11</v>
      </c>
      <c r="K48" s="24">
        <v>177.81</v>
      </c>
      <c r="L48" s="24">
        <v>29.03</v>
      </c>
      <c r="M48" s="24">
        <v>88.13</v>
      </c>
      <c r="N48" s="26">
        <v>103.88</v>
      </c>
      <c r="O48" s="27"/>
      <c r="P48" s="27"/>
    </row>
    <row r="49" spans="1:16" ht="12.75">
      <c r="A49" s="23" t="s">
        <v>38</v>
      </c>
      <c r="B49" s="17">
        <f>SUM(C49:N49)</f>
        <v>9732.72</v>
      </c>
      <c r="C49" s="25">
        <v>1695.85</v>
      </c>
      <c r="D49" s="24">
        <v>968.58</v>
      </c>
      <c r="E49" s="24">
        <v>2004.7</v>
      </c>
      <c r="F49" s="24">
        <v>338.09</v>
      </c>
      <c r="G49" s="24">
        <v>179.03</v>
      </c>
      <c r="H49" s="24">
        <v>655.7</v>
      </c>
      <c r="I49" s="24">
        <v>207.04</v>
      </c>
      <c r="J49" s="24">
        <v>355.65</v>
      </c>
      <c r="K49" s="24">
        <v>1705.79</v>
      </c>
      <c r="L49" s="24">
        <v>97.45</v>
      </c>
      <c r="M49" s="24">
        <v>903.01</v>
      </c>
      <c r="N49" s="26">
        <v>621.83</v>
      </c>
      <c r="O49" s="27"/>
      <c r="P49" s="27"/>
    </row>
    <row r="50" spans="1:16" s="22" customFormat="1" ht="12.75">
      <c r="A50" s="16" t="s">
        <v>39</v>
      </c>
      <c r="B50" s="17">
        <f>SUM(C50:N50)</f>
        <v>52845.780000000006</v>
      </c>
      <c r="C50" s="18">
        <f aca="true" t="shared" si="9" ref="C50:N50">C49+C48+C47</f>
        <v>9991.61</v>
      </c>
      <c r="D50" s="17">
        <f t="shared" si="9"/>
        <v>4777.74</v>
      </c>
      <c r="E50" s="17">
        <f t="shared" si="9"/>
        <v>10275.22</v>
      </c>
      <c r="F50" s="17">
        <f t="shared" si="9"/>
        <v>2717.38</v>
      </c>
      <c r="G50" s="17">
        <f t="shared" si="9"/>
        <v>1569.1799999999998</v>
      </c>
      <c r="H50" s="17">
        <f t="shared" si="9"/>
        <v>2955.33</v>
      </c>
      <c r="I50" s="17">
        <f t="shared" si="9"/>
        <v>2513.11</v>
      </c>
      <c r="J50" s="17">
        <f t="shared" si="9"/>
        <v>1028.76</v>
      </c>
      <c r="K50" s="17">
        <f t="shared" si="9"/>
        <v>7586.51</v>
      </c>
      <c r="L50" s="17">
        <f t="shared" si="9"/>
        <v>1238.68</v>
      </c>
      <c r="M50" s="17">
        <f t="shared" si="9"/>
        <v>3760.25</v>
      </c>
      <c r="N50" s="19">
        <f t="shared" si="9"/>
        <v>4432.01</v>
      </c>
      <c r="O50" s="20"/>
      <c r="P50" s="20"/>
    </row>
    <row r="51" spans="1:16" ht="12.75">
      <c r="A51" s="16" t="s">
        <v>40</v>
      </c>
      <c r="B51" s="24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6"/>
      <c r="O51" s="27"/>
      <c r="P51" s="27"/>
    </row>
    <row r="52" spans="1:16" s="22" customFormat="1" ht="12.75">
      <c r="A52" s="16" t="s">
        <v>41</v>
      </c>
      <c r="B52" s="17">
        <f>SUM(C52:N52)</f>
        <v>45564885.80409981</v>
      </c>
      <c r="C52" s="29">
        <f>C53*4774.18/1000</f>
        <v>6709106.1231714</v>
      </c>
      <c r="D52" s="29">
        <f>D53*4774.18/1000</f>
        <v>3208128.0777624007</v>
      </c>
      <c r="E52" s="29">
        <f>E53*4774.18/1000</f>
        <v>6899542.864031601</v>
      </c>
      <c r="F52" s="29">
        <f>F53*4774.18/1000</f>
        <v>1824649.9651504</v>
      </c>
      <c r="G52" s="17">
        <f>G53*4130.3</f>
        <v>1825592.6</v>
      </c>
      <c r="H52" s="17">
        <f aca="true" t="shared" si="10" ref="H52:M52">H53*4130.3</f>
        <v>3436409.6</v>
      </c>
      <c r="I52" s="17">
        <f t="shared" si="10"/>
        <v>2924252.4</v>
      </c>
      <c r="J52" s="17">
        <f t="shared" si="10"/>
        <v>1197787</v>
      </c>
      <c r="K52" s="17">
        <f t="shared" si="10"/>
        <v>8747975.4</v>
      </c>
      <c r="L52" s="17">
        <f t="shared" si="10"/>
        <v>1441474.7</v>
      </c>
      <c r="M52" s="17">
        <f t="shared" si="10"/>
        <v>4373987.7</v>
      </c>
      <c r="N52" s="29">
        <f>N53*4774.18/1000</f>
        <v>2975979.373984</v>
      </c>
      <c r="O52" s="20"/>
      <c r="P52" s="20"/>
    </row>
    <row r="53" spans="1:16" ht="15.75">
      <c r="A53" s="23" t="s">
        <v>110</v>
      </c>
      <c r="B53" s="24">
        <f>SUM(D53:N53)</f>
        <v>3128491.38</v>
      </c>
      <c r="C53" s="25">
        <f>ROUND(C50/(0.9*7900)*1000000,2)</f>
        <v>1405289.73</v>
      </c>
      <c r="D53" s="25">
        <f>ROUND(D50/(0.9*7900)*1000000,2)</f>
        <v>671974.68</v>
      </c>
      <c r="E53" s="25">
        <f>ROUND(E50/(0.9*7900)*1000000,2)</f>
        <v>1445178.62</v>
      </c>
      <c r="F53" s="25">
        <f>ROUND(F50/(0.9*7900)*1000000,2)</f>
        <v>382191.28</v>
      </c>
      <c r="G53" s="24">
        <f>ROUND(G50*213.2/5300*7000/1000,0)</f>
        <v>442</v>
      </c>
      <c r="H53" s="24">
        <f>ROUND(H50*213.2/5300*7000/1000,0)</f>
        <v>832</v>
      </c>
      <c r="I53" s="24">
        <f>ROUND(I50*213.2/5300*7000/1000,0)</f>
        <v>708</v>
      </c>
      <c r="J53" s="24">
        <f>ROUND(J50*213.2/5300*7000/1000,0)</f>
        <v>290</v>
      </c>
      <c r="K53" s="24">
        <f>ROUND(K50*211.4/5300*7000/1000,0)</f>
        <v>2118</v>
      </c>
      <c r="L53" s="24">
        <f>ROUND(L50*213.2/5300*7000/1000,0)</f>
        <v>349</v>
      </c>
      <c r="M53" s="24">
        <f>ROUND(M50*213.2/5300*7000/1000,0)</f>
        <v>1059</v>
      </c>
      <c r="N53" s="25">
        <f>ROUND(N50/(0.9*7900)*1000000,2)</f>
        <v>623348.8</v>
      </c>
      <c r="O53" s="27"/>
      <c r="P53" s="27"/>
    </row>
    <row r="54" spans="1:16" ht="12.75">
      <c r="A54" s="23" t="s">
        <v>42</v>
      </c>
      <c r="B54" s="24">
        <f>SUM(D54:N54)</f>
        <v>1945769.4915254237</v>
      </c>
      <c r="C54" s="25">
        <f>C56*3.3/1.18*120</f>
        <v>0</v>
      </c>
      <c r="D54" s="24"/>
      <c r="E54" s="24"/>
      <c r="F54" s="24"/>
      <c r="G54" s="24">
        <f aca="true" t="shared" si="11" ref="G54:M54">G53*3.3/1.18*120</f>
        <v>148332.2033898305</v>
      </c>
      <c r="H54" s="24">
        <f t="shared" si="11"/>
        <v>279213.55932203395</v>
      </c>
      <c r="I54" s="24">
        <f t="shared" si="11"/>
        <v>237600.00000000003</v>
      </c>
      <c r="J54" s="24">
        <f t="shared" si="11"/>
        <v>97322.03389830509</v>
      </c>
      <c r="K54" s="24">
        <f t="shared" si="11"/>
        <v>710786.4406779661</v>
      </c>
      <c r="L54" s="24">
        <f t="shared" si="11"/>
        <v>117122.03389830509</v>
      </c>
      <c r="M54" s="24">
        <f t="shared" si="11"/>
        <v>355393.22033898305</v>
      </c>
      <c r="N54" s="26"/>
      <c r="O54" s="27"/>
      <c r="P54" s="27"/>
    </row>
    <row r="55" spans="1:14" ht="12.75">
      <c r="A55" s="23" t="s">
        <v>43</v>
      </c>
      <c r="B55" s="24">
        <f>SUM(D55:N55)</f>
        <v>0</v>
      </c>
      <c r="C55" s="24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1"/>
    </row>
    <row r="56" spans="1:16" ht="12.75">
      <c r="A56" s="23" t="s">
        <v>44</v>
      </c>
      <c r="B56" s="24">
        <f>SUM(D56:N56)</f>
        <v>0</v>
      </c>
      <c r="C56" s="24"/>
      <c r="D56" s="24"/>
      <c r="E56" s="24"/>
      <c r="F56" s="24"/>
      <c r="G56" s="121"/>
      <c r="H56" s="121"/>
      <c r="I56" s="121"/>
      <c r="J56" s="121"/>
      <c r="K56" s="121"/>
      <c r="L56" s="121"/>
      <c r="M56" s="121"/>
      <c r="N56" s="26"/>
      <c r="O56" s="27"/>
      <c r="P56" s="27"/>
    </row>
    <row r="57" spans="1:13" ht="12.75">
      <c r="A57" s="8" t="s">
        <v>111</v>
      </c>
      <c r="B57" s="80">
        <f>B52/B47</f>
        <v>1088.1304480773085</v>
      </c>
      <c r="C57" s="80"/>
      <c r="F57" s="27"/>
      <c r="G57" s="27"/>
      <c r="H57" s="27"/>
      <c r="I57" s="27"/>
      <c r="J57" s="27"/>
      <c r="K57" s="27"/>
      <c r="L57" s="27"/>
      <c r="M57" s="27"/>
    </row>
    <row r="60" spans="1:14" ht="13.5" thickBot="1">
      <c r="A60" s="8" t="s">
        <v>9</v>
      </c>
      <c r="N60" s="8" t="s">
        <v>13</v>
      </c>
    </row>
    <row r="61" spans="1:14" s="15" customFormat="1" ht="12.75">
      <c r="A61" s="10"/>
      <c r="B61" s="11" t="s">
        <v>15</v>
      </c>
      <c r="C61" s="11"/>
      <c r="D61" s="13" t="s">
        <v>18</v>
      </c>
      <c r="E61" s="13" t="s">
        <v>19</v>
      </c>
      <c r="F61" s="13" t="s">
        <v>20</v>
      </c>
      <c r="G61" s="13" t="s">
        <v>21</v>
      </c>
      <c r="H61" s="13" t="s">
        <v>22</v>
      </c>
      <c r="I61" s="13" t="s">
        <v>23</v>
      </c>
      <c r="J61" s="13" t="s">
        <v>24</v>
      </c>
      <c r="K61" s="13" t="s">
        <v>25</v>
      </c>
      <c r="L61" s="13" t="s">
        <v>26</v>
      </c>
      <c r="M61" s="13" t="s">
        <v>27</v>
      </c>
      <c r="N61" s="14" t="s">
        <v>28</v>
      </c>
    </row>
    <row r="62" spans="1:16" s="22" customFormat="1" ht="12.75">
      <c r="A62" s="16" t="s">
        <v>36</v>
      </c>
      <c r="B62" s="17">
        <f>SUM(C62:N62)</f>
        <v>41874.47</v>
      </c>
      <c r="C62" s="18">
        <f>8061.58</f>
        <v>8061.58</v>
      </c>
      <c r="D62" s="17">
        <v>3697.18</v>
      </c>
      <c r="E62" s="17">
        <v>8029.69</v>
      </c>
      <c r="F62" s="17">
        <v>2315.6</v>
      </c>
      <c r="G62" s="17">
        <v>1353.37</v>
      </c>
      <c r="H62" s="17">
        <v>2230.36</v>
      </c>
      <c r="I62" s="17">
        <v>2247.17</v>
      </c>
      <c r="J62" s="17">
        <v>649</v>
      </c>
      <c r="K62" s="17">
        <v>5702.91</v>
      </c>
      <c r="L62" s="17">
        <v>1112.2</v>
      </c>
      <c r="M62" s="17">
        <v>2769.11</v>
      </c>
      <c r="N62" s="19">
        <v>3706.3</v>
      </c>
      <c r="O62" s="20"/>
      <c r="P62" s="20"/>
    </row>
    <row r="63" spans="1:16" ht="12.75">
      <c r="A63" s="23" t="s">
        <v>37</v>
      </c>
      <c r="B63" s="17">
        <f>SUM(C63:N63)</f>
        <v>1238.5900000000001</v>
      </c>
      <c r="C63" s="25">
        <v>234.18</v>
      </c>
      <c r="D63" s="24">
        <v>111.98</v>
      </c>
      <c r="E63" s="24">
        <v>240.83</v>
      </c>
      <c r="F63" s="24">
        <v>63.69</v>
      </c>
      <c r="G63" s="24">
        <v>36.78</v>
      </c>
      <c r="H63" s="24">
        <v>69.27</v>
      </c>
      <c r="I63" s="24">
        <v>58.9</v>
      </c>
      <c r="J63" s="24">
        <v>24.11</v>
      </c>
      <c r="K63" s="24">
        <v>177.81</v>
      </c>
      <c r="L63" s="24">
        <v>29.03</v>
      </c>
      <c r="M63" s="24">
        <v>88.13</v>
      </c>
      <c r="N63" s="26">
        <v>103.88</v>
      </c>
      <c r="O63" s="27"/>
      <c r="P63" s="27"/>
    </row>
    <row r="64" spans="1:16" ht="12.75">
      <c r="A64" s="23" t="s">
        <v>38</v>
      </c>
      <c r="B64" s="17">
        <f>SUM(C64:N64)</f>
        <v>9732.72</v>
      </c>
      <c r="C64" s="25">
        <v>1695.85</v>
      </c>
      <c r="D64" s="24">
        <v>968.58</v>
      </c>
      <c r="E64" s="24">
        <v>2004.7</v>
      </c>
      <c r="F64" s="24">
        <v>338.09</v>
      </c>
      <c r="G64" s="24">
        <v>179.03</v>
      </c>
      <c r="H64" s="24">
        <v>655.7</v>
      </c>
      <c r="I64" s="24">
        <v>207.04</v>
      </c>
      <c r="J64" s="24">
        <v>355.65</v>
      </c>
      <c r="K64" s="24">
        <v>1705.79</v>
      </c>
      <c r="L64" s="24">
        <v>97.45</v>
      </c>
      <c r="M64" s="24">
        <v>903.01</v>
      </c>
      <c r="N64" s="26">
        <v>621.83</v>
      </c>
      <c r="O64" s="27"/>
      <c r="P64" s="27"/>
    </row>
    <row r="65" spans="1:16" s="22" customFormat="1" ht="12.75">
      <c r="A65" s="16" t="s">
        <v>39</v>
      </c>
      <c r="B65" s="17">
        <f>SUM(C65:N65)</f>
        <v>52845.780000000006</v>
      </c>
      <c r="C65" s="18">
        <f aca="true" t="shared" si="12" ref="C65:N65">C64+C63+C62</f>
        <v>9991.61</v>
      </c>
      <c r="D65" s="17">
        <f t="shared" si="12"/>
        <v>4777.74</v>
      </c>
      <c r="E65" s="17">
        <f t="shared" si="12"/>
        <v>10275.22</v>
      </c>
      <c r="F65" s="17">
        <f t="shared" si="12"/>
        <v>2717.38</v>
      </c>
      <c r="G65" s="17">
        <f t="shared" si="12"/>
        <v>1569.1799999999998</v>
      </c>
      <c r="H65" s="17">
        <f t="shared" si="12"/>
        <v>2955.33</v>
      </c>
      <c r="I65" s="17">
        <f t="shared" si="12"/>
        <v>2513.11</v>
      </c>
      <c r="J65" s="17">
        <f t="shared" si="12"/>
        <v>1028.76</v>
      </c>
      <c r="K65" s="17">
        <f t="shared" si="12"/>
        <v>7586.51</v>
      </c>
      <c r="L65" s="17">
        <f t="shared" si="12"/>
        <v>1238.68</v>
      </c>
      <c r="M65" s="17">
        <f t="shared" si="12"/>
        <v>3760.25</v>
      </c>
      <c r="N65" s="19">
        <f t="shared" si="12"/>
        <v>4432.01</v>
      </c>
      <c r="O65" s="20"/>
      <c r="P65" s="20"/>
    </row>
    <row r="66" spans="1:16" ht="12.75">
      <c r="A66" s="16" t="s">
        <v>40</v>
      </c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6"/>
      <c r="O66" s="27"/>
      <c r="P66" s="27"/>
    </row>
    <row r="67" spans="1:16" s="22" customFormat="1" ht="12.75">
      <c r="A67" s="16" t="s">
        <v>41</v>
      </c>
      <c r="B67" s="17">
        <f>SUM(C67:N67)</f>
        <v>54075979.00866411</v>
      </c>
      <c r="C67" s="29">
        <f>C68*5490.31/1000</f>
        <v>7715476.2575163</v>
      </c>
      <c r="D67" s="29">
        <f>D68*5490.31/1000</f>
        <v>3689349.3053508005</v>
      </c>
      <c r="E67" s="29">
        <f>E68*5490.31/1000</f>
        <v>7934478.629172201</v>
      </c>
      <c r="F67" s="29">
        <f>F68*5490.31/1000</f>
        <v>2098348.6064968</v>
      </c>
      <c r="G67" s="17">
        <f>G68*5038.97</f>
        <v>2227224.74</v>
      </c>
      <c r="H67" s="17">
        <f aca="true" t="shared" si="13" ref="H67:M67">H68*5038.97</f>
        <v>4192423.04</v>
      </c>
      <c r="I67" s="17">
        <f t="shared" si="13"/>
        <v>3567590.7600000002</v>
      </c>
      <c r="J67" s="17">
        <f t="shared" si="13"/>
        <v>1461301.3</v>
      </c>
      <c r="K67" s="17">
        <f t="shared" si="13"/>
        <v>10672538.46</v>
      </c>
      <c r="L67" s="17">
        <f t="shared" si="13"/>
        <v>1758600.53</v>
      </c>
      <c r="M67" s="17">
        <f t="shared" si="13"/>
        <v>5336269.23</v>
      </c>
      <c r="N67" s="29">
        <f>N68*5490.31/1000</f>
        <v>3422378.150128001</v>
      </c>
      <c r="O67" s="20"/>
      <c r="P67" s="20"/>
    </row>
    <row r="68" spans="1:16" ht="15.75">
      <c r="A68" s="23" t="s">
        <v>110</v>
      </c>
      <c r="B68" s="24">
        <f>SUM(D68:N68)</f>
        <v>3128491.38</v>
      </c>
      <c r="C68" s="25">
        <f>ROUND(C65/(0.9*7900)*1000000,2)</f>
        <v>1405289.73</v>
      </c>
      <c r="D68" s="25">
        <f>ROUND(D65/(0.9*7900)*1000000,2)</f>
        <v>671974.68</v>
      </c>
      <c r="E68" s="25">
        <f>ROUND(E65/(0.9*7900)*1000000,2)</f>
        <v>1445178.62</v>
      </c>
      <c r="F68" s="25">
        <f>ROUND(F65/(0.9*7900)*1000000,2)</f>
        <v>382191.28</v>
      </c>
      <c r="G68" s="24">
        <f>ROUND(G65*213.2/5300*7000/1000,0)</f>
        <v>442</v>
      </c>
      <c r="H68" s="24">
        <f>ROUND(H65*213.2/5300*7000/1000,0)</f>
        <v>832</v>
      </c>
      <c r="I68" s="24">
        <f>ROUND(I65*213.2/5300*7000/1000,0)</f>
        <v>708</v>
      </c>
      <c r="J68" s="24">
        <f>ROUND(J65*213.2/5300*7000/1000,0)</f>
        <v>290</v>
      </c>
      <c r="K68" s="24">
        <f>ROUND(K65*211.4/5300*7000/1000,0)</f>
        <v>2118</v>
      </c>
      <c r="L68" s="24">
        <f>ROUND(L65*213.2/5300*7000/1000,0)</f>
        <v>349</v>
      </c>
      <c r="M68" s="24">
        <f>ROUND(M65*213.2/5300*7000/1000,0)</f>
        <v>1059</v>
      </c>
      <c r="N68" s="25">
        <f>ROUND(N65/(0.9*7900)*1000000,2)</f>
        <v>623348.8</v>
      </c>
      <c r="O68" s="27"/>
      <c r="P68" s="27"/>
    </row>
    <row r="69" spans="1:16" ht="12.75">
      <c r="A69" s="23" t="s">
        <v>42</v>
      </c>
      <c r="B69" s="24">
        <f>SUM(D69:N69)</f>
        <v>1945769.4915254237</v>
      </c>
      <c r="C69" s="25">
        <f>C71*3.3/1.18*120</f>
        <v>0</v>
      </c>
      <c r="D69" s="24"/>
      <c r="E69" s="24"/>
      <c r="F69" s="24"/>
      <c r="G69" s="24">
        <f aca="true" t="shared" si="14" ref="G69:M69">G68*3.3/1.18*120</f>
        <v>148332.2033898305</v>
      </c>
      <c r="H69" s="24">
        <f t="shared" si="14"/>
        <v>279213.55932203395</v>
      </c>
      <c r="I69" s="24">
        <f t="shared" si="14"/>
        <v>237600.00000000003</v>
      </c>
      <c r="J69" s="24">
        <f t="shared" si="14"/>
        <v>97322.03389830509</v>
      </c>
      <c r="K69" s="24">
        <f t="shared" si="14"/>
        <v>710786.4406779661</v>
      </c>
      <c r="L69" s="24">
        <f t="shared" si="14"/>
        <v>117122.03389830509</v>
      </c>
      <c r="M69" s="24">
        <f t="shared" si="14"/>
        <v>355393.22033898305</v>
      </c>
      <c r="N69" s="26"/>
      <c r="O69" s="27"/>
      <c r="P69" s="27"/>
    </row>
    <row r="70" spans="1:14" ht="12.75">
      <c r="A70" s="23" t="s">
        <v>43</v>
      </c>
      <c r="B70" s="24">
        <f>SUM(D70:N70)</f>
        <v>0</v>
      </c>
      <c r="C70" s="24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1"/>
    </row>
    <row r="71" spans="1:16" ht="12.75">
      <c r="A71" s="23" t="s">
        <v>44</v>
      </c>
      <c r="B71" s="24">
        <f>SUM(D71:N71)</f>
        <v>0</v>
      </c>
      <c r="C71" s="24"/>
      <c r="D71" s="24"/>
      <c r="E71" s="24"/>
      <c r="F71" s="24"/>
      <c r="G71" s="121"/>
      <c r="H71" s="121"/>
      <c r="I71" s="121"/>
      <c r="J71" s="121"/>
      <c r="K71" s="121"/>
      <c r="L71" s="121"/>
      <c r="M71" s="121"/>
      <c r="N71" s="26"/>
      <c r="O71" s="27"/>
      <c r="P71" s="27"/>
    </row>
    <row r="72" spans="1:13" ht="12.75">
      <c r="A72" s="8" t="s">
        <v>111</v>
      </c>
      <c r="B72" s="80">
        <f>B67/B62</f>
        <v>1291.3830075619849</v>
      </c>
      <c r="C72" s="80"/>
      <c r="F72" s="27"/>
      <c r="G72" s="27"/>
      <c r="H72" s="27"/>
      <c r="I72" s="27"/>
      <c r="J72" s="27"/>
      <c r="K72" s="27"/>
      <c r="L72" s="27"/>
      <c r="M72" s="27"/>
    </row>
    <row r="75" spans="2:3" ht="12.75">
      <c r="B75" s="88">
        <f>SUM(B9,B23,B37,B52,B67)</f>
        <v>197127892.36062953</v>
      </c>
      <c r="C75" s="88"/>
    </row>
  </sheetData>
  <printOptions/>
  <pageMargins left="0.3" right="0.18" top="1" bottom="1" header="0.5" footer="0.5"/>
  <pageSetup horizontalDpi="600" verticalDpi="600" orientation="portrait" paperSize="9" scale="61" r:id="rId1"/>
  <colBreaks count="1" manualBreakCount="1">
    <brk id="14" min="2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P75"/>
  <sheetViews>
    <sheetView workbookViewId="0" topLeftCell="A1">
      <pane xSplit="2" ySplit="13" topLeftCell="C14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B62" sqref="B62:B65"/>
    </sheetView>
  </sheetViews>
  <sheetFormatPr defaultColWidth="9.00390625" defaultRowHeight="12.75"/>
  <cols>
    <col min="1" max="1" width="51.125" style="8" bestFit="1" customWidth="1"/>
    <col min="2" max="2" width="14.875" style="8" bestFit="1" customWidth="1"/>
    <col min="3" max="3" width="14.875" style="8" customWidth="1"/>
    <col min="4" max="4" width="15.875" style="8" customWidth="1"/>
    <col min="5" max="5" width="14.875" style="8" bestFit="1" customWidth="1"/>
    <col min="6" max="13" width="14.125" style="8" customWidth="1"/>
    <col min="14" max="14" width="12.75390625" style="8" bestFit="1" customWidth="1"/>
    <col min="15" max="15" width="11.75390625" style="8" customWidth="1"/>
    <col min="16" max="16384" width="9.125" style="8" customWidth="1"/>
  </cols>
  <sheetData>
    <row r="2" spans="1:14" ht="13.5" thickBot="1">
      <c r="A2" s="8" t="s">
        <v>5</v>
      </c>
      <c r="N2" s="8" t="s">
        <v>13</v>
      </c>
    </row>
    <row r="3" spans="1:14" s="15" customFormat="1" ht="12.75">
      <c r="A3" s="10"/>
      <c r="B3" s="11" t="s">
        <v>15</v>
      </c>
      <c r="C3" s="11" t="s">
        <v>132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4" t="s">
        <v>28</v>
      </c>
    </row>
    <row r="4" spans="1:16" s="22" customFormat="1" ht="12.75">
      <c r="A4" s="16" t="s">
        <v>36</v>
      </c>
      <c r="B4" s="17">
        <f>SUM(C4:N4)</f>
        <v>41874.47</v>
      </c>
      <c r="C4" s="18">
        <f>8061.58</f>
        <v>8061.58</v>
      </c>
      <c r="D4" s="17">
        <v>3697.18</v>
      </c>
      <c r="E4" s="17">
        <v>8029.69</v>
      </c>
      <c r="F4" s="17">
        <v>2315.6</v>
      </c>
      <c r="G4" s="17">
        <v>1353.37</v>
      </c>
      <c r="H4" s="17">
        <v>2230.36</v>
      </c>
      <c r="I4" s="17">
        <v>2247.17</v>
      </c>
      <c r="J4" s="17">
        <v>649</v>
      </c>
      <c r="K4" s="17">
        <v>5702.91</v>
      </c>
      <c r="L4" s="17">
        <v>1112.2</v>
      </c>
      <c r="M4" s="17">
        <v>2769.11</v>
      </c>
      <c r="N4" s="19">
        <v>3706.3</v>
      </c>
      <c r="O4" s="20"/>
      <c r="P4" s="20"/>
    </row>
    <row r="5" spans="1:16" ht="12.75">
      <c r="A5" s="23" t="s">
        <v>37</v>
      </c>
      <c r="B5" s="17">
        <f>SUM(C5:N5)</f>
        <v>1238.5900000000001</v>
      </c>
      <c r="C5" s="25">
        <v>234.18</v>
      </c>
      <c r="D5" s="24">
        <v>111.98</v>
      </c>
      <c r="E5" s="24">
        <v>240.83</v>
      </c>
      <c r="F5" s="24">
        <v>63.69</v>
      </c>
      <c r="G5" s="24">
        <v>36.78</v>
      </c>
      <c r="H5" s="24">
        <v>69.27</v>
      </c>
      <c r="I5" s="24">
        <v>58.9</v>
      </c>
      <c r="J5" s="24">
        <v>24.11</v>
      </c>
      <c r="K5" s="24">
        <v>177.81</v>
      </c>
      <c r="L5" s="24">
        <v>29.03</v>
      </c>
      <c r="M5" s="24">
        <v>88.13</v>
      </c>
      <c r="N5" s="26">
        <v>103.88</v>
      </c>
      <c r="O5" s="27"/>
      <c r="P5" s="27"/>
    </row>
    <row r="6" spans="1:16" ht="12.75">
      <c r="A6" s="23" t="s">
        <v>38</v>
      </c>
      <c r="B6" s="17">
        <f>SUM(C6:N6)</f>
        <v>9732.72</v>
      </c>
      <c r="C6" s="25">
        <v>1695.85</v>
      </c>
      <c r="D6" s="24">
        <v>968.58</v>
      </c>
      <c r="E6" s="24">
        <v>2004.7</v>
      </c>
      <c r="F6" s="24">
        <v>338.09</v>
      </c>
      <c r="G6" s="24">
        <v>179.03</v>
      </c>
      <c r="H6" s="24">
        <v>655.7</v>
      </c>
      <c r="I6" s="24">
        <v>207.04</v>
      </c>
      <c r="J6" s="24">
        <v>355.65</v>
      </c>
      <c r="K6" s="24">
        <v>1705.79</v>
      </c>
      <c r="L6" s="24">
        <v>97.45</v>
      </c>
      <c r="M6" s="24">
        <v>903.01</v>
      </c>
      <c r="N6" s="26">
        <v>621.83</v>
      </c>
      <c r="O6" s="27"/>
      <c r="P6" s="27"/>
    </row>
    <row r="7" spans="1:16" s="22" customFormat="1" ht="12.75">
      <c r="A7" s="16" t="s">
        <v>39</v>
      </c>
      <c r="B7" s="17">
        <f>SUM(C7:N7)</f>
        <v>52845.780000000006</v>
      </c>
      <c r="C7" s="18">
        <f>C6+C5+C4</f>
        <v>9991.61</v>
      </c>
      <c r="D7" s="17">
        <f aca="true" t="shared" si="0" ref="D7:N7">D6+D5+D4</f>
        <v>4777.74</v>
      </c>
      <c r="E7" s="17">
        <f t="shared" si="0"/>
        <v>10275.22</v>
      </c>
      <c r="F7" s="17">
        <f t="shared" si="0"/>
        <v>2717.38</v>
      </c>
      <c r="G7" s="17">
        <f t="shared" si="0"/>
        <v>1569.1799999999998</v>
      </c>
      <c r="H7" s="17">
        <f t="shared" si="0"/>
        <v>2955.33</v>
      </c>
      <c r="I7" s="17">
        <f t="shared" si="0"/>
        <v>2513.11</v>
      </c>
      <c r="J7" s="17">
        <f t="shared" si="0"/>
        <v>1028.76</v>
      </c>
      <c r="K7" s="17">
        <f t="shared" si="0"/>
        <v>7586.51</v>
      </c>
      <c r="L7" s="17">
        <f t="shared" si="0"/>
        <v>1238.68</v>
      </c>
      <c r="M7" s="17">
        <f t="shared" si="0"/>
        <v>3760.25</v>
      </c>
      <c r="N7" s="19">
        <f t="shared" si="0"/>
        <v>4432.01</v>
      </c>
      <c r="O7" s="20"/>
      <c r="P7" s="20"/>
    </row>
    <row r="8" spans="1:16" ht="12.75">
      <c r="A8" s="16" t="s">
        <v>40</v>
      </c>
      <c r="B8" s="24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6"/>
      <c r="O8" s="27"/>
      <c r="P8" s="27"/>
    </row>
    <row r="9" spans="1:16" s="22" customFormat="1" ht="12.75">
      <c r="A9" s="16" t="s">
        <v>41</v>
      </c>
      <c r="B9" s="17">
        <f>SUM(C9:N9)</f>
        <v>31705617.290989</v>
      </c>
      <c r="C9" s="29">
        <f>C10*3059.3/1000</f>
        <v>4299202.870989</v>
      </c>
      <c r="D9" s="17">
        <f>D10*2274.58</f>
        <v>3059310.1</v>
      </c>
      <c r="E9" s="17">
        <f>E10*2274.58</f>
        <v>6580359.9399999995</v>
      </c>
      <c r="F9" s="17">
        <f>F10*2274.58</f>
        <v>1740053.7</v>
      </c>
      <c r="G9" s="17">
        <f>G10*2274.58</f>
        <v>1005364.36</v>
      </c>
      <c r="H9" s="17">
        <f aca="true" t="shared" si="1" ref="H9:M9">H10*2274.58</f>
        <v>1892450.56</v>
      </c>
      <c r="I9" s="17">
        <f t="shared" si="1"/>
        <v>1610402.64</v>
      </c>
      <c r="J9" s="17">
        <f t="shared" si="1"/>
        <v>659628.2</v>
      </c>
      <c r="K9" s="17">
        <f t="shared" si="1"/>
        <v>4817560.4399999995</v>
      </c>
      <c r="L9" s="17">
        <f t="shared" si="1"/>
        <v>793828.4199999999</v>
      </c>
      <c r="M9" s="17">
        <f t="shared" si="1"/>
        <v>2408780.2199999997</v>
      </c>
      <c r="N9" s="17">
        <f>N10*2274.58</f>
        <v>2838675.84</v>
      </c>
      <c r="O9" s="20"/>
      <c r="P9" s="20"/>
    </row>
    <row r="10" spans="1:16" ht="15.75">
      <c r="A10" s="23" t="s">
        <v>110</v>
      </c>
      <c r="B10" s="24">
        <f>SUM(D10:N10)</f>
        <v>12049</v>
      </c>
      <c r="C10" s="25">
        <f>ROUND(C7/(0.9*7900)*1000000,2)</f>
        <v>1405289.73</v>
      </c>
      <c r="D10" s="24">
        <f aca="true" t="shared" si="2" ref="D10:J10">ROUND(D7*213.2/5300*7000/1000,0)</f>
        <v>1345</v>
      </c>
      <c r="E10" s="24">
        <f t="shared" si="2"/>
        <v>2893</v>
      </c>
      <c r="F10" s="24">
        <f t="shared" si="2"/>
        <v>765</v>
      </c>
      <c r="G10" s="24">
        <f t="shared" si="2"/>
        <v>442</v>
      </c>
      <c r="H10" s="24">
        <f t="shared" si="2"/>
        <v>832</v>
      </c>
      <c r="I10" s="24">
        <f t="shared" si="2"/>
        <v>708</v>
      </c>
      <c r="J10" s="24">
        <f t="shared" si="2"/>
        <v>290</v>
      </c>
      <c r="K10" s="24">
        <f>ROUND(K7*211.4/5300*7000/1000,0)</f>
        <v>2118</v>
      </c>
      <c r="L10" s="24">
        <f>ROUND(L7*213.2/5300*7000/1000,0)</f>
        <v>349</v>
      </c>
      <c r="M10" s="24">
        <f>ROUND(M7*213.2/5300*7000/1000,0)</f>
        <v>1059</v>
      </c>
      <c r="N10" s="24">
        <f>ROUND(N7*213.2/5300*7000/1000,0)</f>
        <v>1248</v>
      </c>
      <c r="O10" s="27"/>
      <c r="P10" s="27"/>
    </row>
    <row r="11" spans="1:16" ht="12.75">
      <c r="A11" s="23" t="s">
        <v>42</v>
      </c>
      <c r="B11" s="24">
        <f>SUM(D11:N11)</f>
        <v>4043562.711864407</v>
      </c>
      <c r="C11" s="25">
        <f>C13*3.3/1.18*120</f>
        <v>0</v>
      </c>
      <c r="D11" s="24">
        <f>D10*3.3/1.18*120</f>
        <v>451372.8813559322</v>
      </c>
      <c r="E11" s="24">
        <f>E10*3.3/1.18*120</f>
        <v>970871.186440678</v>
      </c>
      <c r="F11" s="24">
        <f>F10*3.3/1.18*120</f>
        <v>256728.81355932204</v>
      </c>
      <c r="G11" s="24">
        <f aca="true" t="shared" si="3" ref="G11:M11">G10*3.3/1.18*120</f>
        <v>148332.2033898305</v>
      </c>
      <c r="H11" s="24">
        <f t="shared" si="3"/>
        <v>279213.55932203395</v>
      </c>
      <c r="I11" s="24">
        <f t="shared" si="3"/>
        <v>237600.00000000003</v>
      </c>
      <c r="J11" s="24">
        <f t="shared" si="3"/>
        <v>97322.03389830509</v>
      </c>
      <c r="K11" s="24">
        <f t="shared" si="3"/>
        <v>710786.4406779661</v>
      </c>
      <c r="L11" s="24">
        <f t="shared" si="3"/>
        <v>117122.03389830509</v>
      </c>
      <c r="M11" s="24">
        <f t="shared" si="3"/>
        <v>355393.22033898305</v>
      </c>
      <c r="N11" s="24">
        <f>N10*3.3/1.18*120</f>
        <v>418820.3389830508</v>
      </c>
      <c r="O11" s="27"/>
      <c r="P11" s="27"/>
    </row>
    <row r="12" spans="1:14" ht="12.75">
      <c r="A12" s="23" t="s">
        <v>43</v>
      </c>
      <c r="B12" s="24">
        <f>SUM(D12:N12)</f>
        <v>0</v>
      </c>
      <c r="C12" s="24"/>
      <c r="D12" s="30"/>
      <c r="E12" s="30"/>
      <c r="F12" s="30"/>
      <c r="G12" s="122"/>
      <c r="H12" s="122"/>
      <c r="I12" s="122"/>
      <c r="J12" s="122"/>
      <c r="K12" s="122"/>
      <c r="L12" s="122"/>
      <c r="M12" s="122"/>
      <c r="N12" s="31"/>
    </row>
    <row r="13" spans="1:16" ht="12.75">
      <c r="A13" s="23" t="s">
        <v>44</v>
      </c>
      <c r="B13" s="24">
        <f>SUM(D13:N13)</f>
        <v>0</v>
      </c>
      <c r="C13" s="24"/>
      <c r="D13" s="24"/>
      <c r="E13" s="24"/>
      <c r="F13" s="24"/>
      <c r="G13" s="121"/>
      <c r="H13" s="121"/>
      <c r="I13" s="121"/>
      <c r="J13" s="121"/>
      <c r="K13" s="121"/>
      <c r="L13" s="121"/>
      <c r="M13" s="121"/>
      <c r="N13" s="26"/>
      <c r="O13" s="27"/>
      <c r="P13" s="27"/>
    </row>
    <row r="14" spans="1:3" ht="12.75">
      <c r="A14" s="8" t="s">
        <v>111</v>
      </c>
      <c r="B14" s="80">
        <f>B9/B4</f>
        <v>757.1586527779098</v>
      </c>
      <c r="C14" s="80"/>
    </row>
    <row r="15" spans="2:3" ht="12.75">
      <c r="B15" s="27"/>
      <c r="C15" s="27"/>
    </row>
    <row r="16" spans="1:14" ht="13.5" thickBot="1">
      <c r="A16" s="8" t="s">
        <v>6</v>
      </c>
      <c r="N16" s="8" t="s">
        <v>13</v>
      </c>
    </row>
    <row r="17" spans="1:14" s="15" customFormat="1" ht="12.75">
      <c r="A17" s="10"/>
      <c r="B17" s="11" t="s">
        <v>15</v>
      </c>
      <c r="C17" s="11"/>
      <c r="D17" s="13" t="s">
        <v>18</v>
      </c>
      <c r="E17" s="13" t="s">
        <v>19</v>
      </c>
      <c r="F17" s="13" t="s">
        <v>20</v>
      </c>
      <c r="G17" s="13" t="s">
        <v>21</v>
      </c>
      <c r="H17" s="13" t="s">
        <v>22</v>
      </c>
      <c r="I17" s="13" t="s">
        <v>23</v>
      </c>
      <c r="J17" s="13" t="s">
        <v>24</v>
      </c>
      <c r="K17" s="13" t="s">
        <v>25</v>
      </c>
      <c r="L17" s="13" t="s">
        <v>26</v>
      </c>
      <c r="M17" s="13" t="s">
        <v>27</v>
      </c>
      <c r="N17" s="14" t="s">
        <v>28</v>
      </c>
    </row>
    <row r="18" spans="1:16" s="22" customFormat="1" ht="12.75">
      <c r="A18" s="16" t="s">
        <v>36</v>
      </c>
      <c r="B18" s="17">
        <f>SUM(C18:N18)</f>
        <v>41874.47</v>
      </c>
      <c r="C18" s="18">
        <f>8061.58</f>
        <v>8061.58</v>
      </c>
      <c r="D18" s="17">
        <v>3697.18</v>
      </c>
      <c r="E18" s="17">
        <v>8029.69</v>
      </c>
      <c r="F18" s="17">
        <v>2315.6</v>
      </c>
      <c r="G18" s="17">
        <v>1353.37</v>
      </c>
      <c r="H18" s="17">
        <v>2230.36</v>
      </c>
      <c r="I18" s="17">
        <v>2247.17</v>
      </c>
      <c r="J18" s="17">
        <v>649</v>
      </c>
      <c r="K18" s="17">
        <v>5702.91</v>
      </c>
      <c r="L18" s="17">
        <v>1112.2</v>
      </c>
      <c r="M18" s="17">
        <v>2769.11</v>
      </c>
      <c r="N18" s="19">
        <v>3706.3</v>
      </c>
      <c r="O18" s="20"/>
      <c r="P18" s="20"/>
    </row>
    <row r="19" spans="1:16" ht="12.75">
      <c r="A19" s="23" t="s">
        <v>37</v>
      </c>
      <c r="B19" s="17">
        <f>SUM(C19:N19)</f>
        <v>1238.5900000000001</v>
      </c>
      <c r="C19" s="25">
        <v>234.18</v>
      </c>
      <c r="D19" s="24">
        <v>111.98</v>
      </c>
      <c r="E19" s="24">
        <v>240.83</v>
      </c>
      <c r="F19" s="24">
        <v>63.69</v>
      </c>
      <c r="G19" s="24">
        <v>36.78</v>
      </c>
      <c r="H19" s="24">
        <v>69.27</v>
      </c>
      <c r="I19" s="24">
        <v>58.9</v>
      </c>
      <c r="J19" s="24">
        <v>24.11</v>
      </c>
      <c r="K19" s="24">
        <v>177.81</v>
      </c>
      <c r="L19" s="24">
        <v>29.03</v>
      </c>
      <c r="M19" s="24">
        <v>88.13</v>
      </c>
      <c r="N19" s="26">
        <v>103.88</v>
      </c>
      <c r="O19" s="27"/>
      <c r="P19" s="27"/>
    </row>
    <row r="20" spans="1:16" ht="12.75">
      <c r="A20" s="23" t="s">
        <v>38</v>
      </c>
      <c r="B20" s="17">
        <f>SUM(C20:N20)</f>
        <v>9732.72</v>
      </c>
      <c r="C20" s="25">
        <v>1695.85</v>
      </c>
      <c r="D20" s="24">
        <v>968.58</v>
      </c>
      <c r="E20" s="24">
        <v>2004.7</v>
      </c>
      <c r="F20" s="24">
        <v>338.09</v>
      </c>
      <c r="G20" s="24">
        <v>179.03</v>
      </c>
      <c r="H20" s="24">
        <v>655.7</v>
      </c>
      <c r="I20" s="24">
        <v>207.04</v>
      </c>
      <c r="J20" s="24">
        <v>355.65</v>
      </c>
      <c r="K20" s="24">
        <v>1705.79</v>
      </c>
      <c r="L20" s="24">
        <v>97.45</v>
      </c>
      <c r="M20" s="24">
        <v>903.01</v>
      </c>
      <c r="N20" s="26">
        <v>621.83</v>
      </c>
      <c r="O20" s="27"/>
      <c r="P20" s="27"/>
    </row>
    <row r="21" spans="1:16" s="22" customFormat="1" ht="12.75">
      <c r="A21" s="16" t="s">
        <v>39</v>
      </c>
      <c r="B21" s="17">
        <f>SUM(C21:N21)</f>
        <v>52845.780000000006</v>
      </c>
      <c r="C21" s="18">
        <f>C20+C19+C18</f>
        <v>9991.61</v>
      </c>
      <c r="D21" s="17">
        <f aca="true" t="shared" si="4" ref="D21:N21">D20+D19+D18</f>
        <v>4777.74</v>
      </c>
      <c r="E21" s="17">
        <f t="shared" si="4"/>
        <v>10275.22</v>
      </c>
      <c r="F21" s="17">
        <f t="shared" si="4"/>
        <v>2717.38</v>
      </c>
      <c r="G21" s="17">
        <f t="shared" si="4"/>
        <v>1569.1799999999998</v>
      </c>
      <c r="H21" s="17">
        <f t="shared" si="4"/>
        <v>2955.33</v>
      </c>
      <c r="I21" s="17">
        <f t="shared" si="4"/>
        <v>2513.11</v>
      </c>
      <c r="J21" s="17">
        <f t="shared" si="4"/>
        <v>1028.76</v>
      </c>
      <c r="K21" s="17">
        <f t="shared" si="4"/>
        <v>7586.51</v>
      </c>
      <c r="L21" s="17">
        <f t="shared" si="4"/>
        <v>1238.68</v>
      </c>
      <c r="M21" s="17">
        <f t="shared" si="4"/>
        <v>3760.25</v>
      </c>
      <c r="N21" s="19">
        <f t="shared" si="4"/>
        <v>4432.01</v>
      </c>
      <c r="O21" s="20"/>
      <c r="P21" s="20"/>
    </row>
    <row r="22" spans="1:16" ht="12.75">
      <c r="A22" s="16" t="s">
        <v>40</v>
      </c>
      <c r="B22" s="24"/>
      <c r="C22" s="2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6"/>
      <c r="O22" s="27"/>
      <c r="P22" s="27"/>
    </row>
    <row r="23" spans="1:16" s="22" customFormat="1" ht="12.75">
      <c r="A23" s="16" t="s">
        <v>41</v>
      </c>
      <c r="B23" s="17">
        <f>SUM(C23:N23)</f>
        <v>35478567.658086</v>
      </c>
      <c r="C23" s="29">
        <f>C24*3518.2/1000</f>
        <v>4944090.328086</v>
      </c>
      <c r="D23" s="17">
        <f>D24*2774.99</f>
        <v>3732361.55</v>
      </c>
      <c r="E23" s="17">
        <f>E24*2774.99</f>
        <v>8028046.069999999</v>
      </c>
      <c r="F23" s="17">
        <f>F24*2774.99</f>
        <v>2122867.3499999996</v>
      </c>
      <c r="G23" s="17">
        <f>G24*2274.58</f>
        <v>1005364.36</v>
      </c>
      <c r="H23" s="17">
        <f aca="true" t="shared" si="5" ref="H23:M23">H24*2274.58</f>
        <v>1892450.56</v>
      </c>
      <c r="I23" s="17">
        <f t="shared" si="5"/>
        <v>1610402.64</v>
      </c>
      <c r="J23" s="17">
        <f t="shared" si="5"/>
        <v>659628.2</v>
      </c>
      <c r="K23" s="17">
        <f t="shared" si="5"/>
        <v>4817560.4399999995</v>
      </c>
      <c r="L23" s="17">
        <f t="shared" si="5"/>
        <v>793828.4199999999</v>
      </c>
      <c r="M23" s="17">
        <f t="shared" si="5"/>
        <v>2408780.2199999997</v>
      </c>
      <c r="N23" s="17">
        <f>N24*2774.99</f>
        <v>3463187.5199999996</v>
      </c>
      <c r="O23" s="20"/>
      <c r="P23" s="20"/>
    </row>
    <row r="24" spans="1:16" ht="15.75">
      <c r="A24" s="23" t="s">
        <v>110</v>
      </c>
      <c r="B24" s="24">
        <f>SUM(D24:N24)</f>
        <v>12049</v>
      </c>
      <c r="C24" s="25">
        <f>ROUND(C21/(0.9*7900)*1000000,2)</f>
        <v>1405289.73</v>
      </c>
      <c r="D24" s="24">
        <f aca="true" t="shared" si="6" ref="D24:J24">ROUND(D21*213.2/5300*7000/1000,0)</f>
        <v>1345</v>
      </c>
      <c r="E24" s="24">
        <f t="shared" si="6"/>
        <v>2893</v>
      </c>
      <c r="F24" s="24">
        <f t="shared" si="6"/>
        <v>765</v>
      </c>
      <c r="G24" s="24">
        <f t="shared" si="6"/>
        <v>442</v>
      </c>
      <c r="H24" s="24">
        <f t="shared" si="6"/>
        <v>832</v>
      </c>
      <c r="I24" s="24">
        <f t="shared" si="6"/>
        <v>708</v>
      </c>
      <c r="J24" s="24">
        <f t="shared" si="6"/>
        <v>290</v>
      </c>
      <c r="K24" s="24">
        <f>ROUND(K21*211.4/5300*7000/1000,0)</f>
        <v>2118</v>
      </c>
      <c r="L24" s="24">
        <f>ROUND(L21*213.2/5300*7000/1000,0)</f>
        <v>349</v>
      </c>
      <c r="M24" s="24">
        <f>ROUND(M21*213.2/5300*7000/1000,0)</f>
        <v>1059</v>
      </c>
      <c r="N24" s="24">
        <f>ROUND(N21*213.2/5300*7000/1000,0)</f>
        <v>1248</v>
      </c>
      <c r="O24" s="27"/>
      <c r="P24" s="27"/>
    </row>
    <row r="25" spans="1:16" ht="12.75">
      <c r="A25" s="23" t="s">
        <v>42</v>
      </c>
      <c r="B25" s="24">
        <f>SUM(D25:N25)</f>
        <v>4043562.711864407</v>
      </c>
      <c r="C25" s="25">
        <f>C27*3.3/1.18*120</f>
        <v>0</v>
      </c>
      <c r="D25" s="24">
        <f>D24*3.3/1.18*120</f>
        <v>451372.8813559322</v>
      </c>
      <c r="E25" s="24">
        <f>E24*3.3/1.18*120</f>
        <v>970871.186440678</v>
      </c>
      <c r="F25" s="24">
        <f>F24*3.3/1.18*120</f>
        <v>256728.81355932204</v>
      </c>
      <c r="G25" s="24">
        <f aca="true" t="shared" si="7" ref="G25:M25">G24*3.3/1.18*120</f>
        <v>148332.2033898305</v>
      </c>
      <c r="H25" s="24">
        <f t="shared" si="7"/>
        <v>279213.55932203395</v>
      </c>
      <c r="I25" s="24">
        <f t="shared" si="7"/>
        <v>237600.00000000003</v>
      </c>
      <c r="J25" s="24">
        <f t="shared" si="7"/>
        <v>97322.03389830509</v>
      </c>
      <c r="K25" s="24">
        <f t="shared" si="7"/>
        <v>710786.4406779661</v>
      </c>
      <c r="L25" s="24">
        <f t="shared" si="7"/>
        <v>117122.03389830509</v>
      </c>
      <c r="M25" s="24">
        <f t="shared" si="7"/>
        <v>355393.22033898305</v>
      </c>
      <c r="N25" s="24">
        <f>N24*3.3/1.18*120</f>
        <v>418820.3389830508</v>
      </c>
      <c r="O25" s="27"/>
      <c r="P25" s="27"/>
    </row>
    <row r="26" spans="1:14" ht="12.75">
      <c r="A26" s="23" t="s">
        <v>43</v>
      </c>
      <c r="B26" s="24">
        <f>SUM(D26:N26)</f>
        <v>0</v>
      </c>
      <c r="C26" s="24"/>
      <c r="D26" s="30"/>
      <c r="E26" s="30"/>
      <c r="F26" s="30"/>
      <c r="G26" s="122"/>
      <c r="H26" s="122"/>
      <c r="I26" s="122"/>
      <c r="J26" s="122"/>
      <c r="K26" s="122"/>
      <c r="L26" s="122"/>
      <c r="M26" s="122"/>
      <c r="N26" s="31"/>
    </row>
    <row r="27" spans="1:16" ht="12.75">
      <c r="A27" s="23" t="s">
        <v>44</v>
      </c>
      <c r="B27" s="24">
        <f>SUM(D27:N27)</f>
        <v>0</v>
      </c>
      <c r="C27" s="24"/>
      <c r="D27" s="24"/>
      <c r="E27" s="24"/>
      <c r="F27" s="24"/>
      <c r="G27" s="121"/>
      <c r="H27" s="121"/>
      <c r="I27" s="121"/>
      <c r="J27" s="121"/>
      <c r="K27" s="121"/>
      <c r="L27" s="121"/>
      <c r="M27" s="121"/>
      <c r="N27" s="26"/>
      <c r="O27" s="27"/>
      <c r="P27" s="27"/>
    </row>
    <row r="28" spans="1:3" ht="12.75">
      <c r="A28" s="8" t="s">
        <v>111</v>
      </c>
      <c r="B28" s="80">
        <f>B23/B18</f>
        <v>847.2601004403399</v>
      </c>
      <c r="C28" s="80"/>
    </row>
    <row r="29" spans="2:3" ht="12.75">
      <c r="B29" s="27"/>
      <c r="C29" s="27"/>
    </row>
    <row r="30" spans="1:14" ht="13.5" thickBot="1">
      <c r="A30" s="8" t="s">
        <v>7</v>
      </c>
      <c r="N30" s="8" t="s">
        <v>13</v>
      </c>
    </row>
    <row r="31" spans="1:14" s="15" customFormat="1" ht="12.75">
      <c r="A31" s="10"/>
      <c r="B31" s="11" t="s">
        <v>15</v>
      </c>
      <c r="C31" s="11"/>
      <c r="D31" s="13" t="s">
        <v>18</v>
      </c>
      <c r="E31" s="13" t="s">
        <v>19</v>
      </c>
      <c r="F31" s="13" t="s">
        <v>20</v>
      </c>
      <c r="G31" s="13" t="s">
        <v>21</v>
      </c>
      <c r="H31" s="13" t="s">
        <v>22</v>
      </c>
      <c r="I31" s="13" t="s">
        <v>23</v>
      </c>
      <c r="J31" s="13" t="s">
        <v>24</v>
      </c>
      <c r="K31" s="13" t="s">
        <v>25</v>
      </c>
      <c r="L31" s="13" t="s">
        <v>26</v>
      </c>
      <c r="M31" s="13" t="s">
        <v>27</v>
      </c>
      <c r="N31" s="14" t="s">
        <v>28</v>
      </c>
    </row>
    <row r="32" spans="1:16" s="22" customFormat="1" ht="12.75">
      <c r="A32" s="16" t="s">
        <v>36</v>
      </c>
      <c r="B32" s="17">
        <f>SUM(C32:N32)</f>
        <v>41874.47</v>
      </c>
      <c r="C32" s="18">
        <f>8061.58</f>
        <v>8061.58</v>
      </c>
      <c r="D32" s="17">
        <v>3697.18</v>
      </c>
      <c r="E32" s="17">
        <v>8029.69</v>
      </c>
      <c r="F32" s="17">
        <v>2315.6</v>
      </c>
      <c r="G32" s="17">
        <v>1353.37</v>
      </c>
      <c r="H32" s="17">
        <v>2230.36</v>
      </c>
      <c r="I32" s="17">
        <v>2247.17</v>
      </c>
      <c r="J32" s="17">
        <v>649</v>
      </c>
      <c r="K32" s="17">
        <v>5702.91</v>
      </c>
      <c r="L32" s="17">
        <v>1112.2</v>
      </c>
      <c r="M32" s="17">
        <v>2769.11</v>
      </c>
      <c r="N32" s="19">
        <v>3706.3</v>
      </c>
      <c r="O32" s="20"/>
      <c r="P32" s="20"/>
    </row>
    <row r="33" spans="1:16" ht="12.75">
      <c r="A33" s="23" t="s">
        <v>37</v>
      </c>
      <c r="B33" s="17">
        <f>SUM(C33:N33)</f>
        <v>1238.5900000000001</v>
      </c>
      <c r="C33" s="25">
        <v>234.18</v>
      </c>
      <c r="D33" s="24">
        <v>111.98</v>
      </c>
      <c r="E33" s="24">
        <v>240.83</v>
      </c>
      <c r="F33" s="24">
        <v>63.69</v>
      </c>
      <c r="G33" s="24">
        <v>36.78</v>
      </c>
      <c r="H33" s="24">
        <v>69.27</v>
      </c>
      <c r="I33" s="24">
        <v>58.9</v>
      </c>
      <c r="J33" s="24">
        <v>24.11</v>
      </c>
      <c r="K33" s="24">
        <v>177.81</v>
      </c>
      <c r="L33" s="24">
        <v>29.03</v>
      </c>
      <c r="M33" s="24">
        <v>88.13</v>
      </c>
      <c r="N33" s="26">
        <v>103.88</v>
      </c>
      <c r="O33" s="27"/>
      <c r="P33" s="27"/>
    </row>
    <row r="34" spans="1:16" ht="12.75">
      <c r="A34" s="23" t="s">
        <v>38</v>
      </c>
      <c r="B34" s="17">
        <f>SUM(C34:N34)</f>
        <v>9732.72</v>
      </c>
      <c r="C34" s="25">
        <v>1695.85</v>
      </c>
      <c r="D34" s="24">
        <v>968.58</v>
      </c>
      <c r="E34" s="24">
        <v>2004.7</v>
      </c>
      <c r="F34" s="24">
        <v>338.09</v>
      </c>
      <c r="G34" s="24">
        <v>179.03</v>
      </c>
      <c r="H34" s="24">
        <v>655.7</v>
      </c>
      <c r="I34" s="24">
        <v>207.04</v>
      </c>
      <c r="J34" s="24">
        <v>355.65</v>
      </c>
      <c r="K34" s="24">
        <v>1705.79</v>
      </c>
      <c r="L34" s="24">
        <v>97.45</v>
      </c>
      <c r="M34" s="24">
        <v>903.01</v>
      </c>
      <c r="N34" s="26">
        <v>621.83</v>
      </c>
      <c r="O34" s="27"/>
      <c r="P34" s="27"/>
    </row>
    <row r="35" spans="1:16" s="22" customFormat="1" ht="12.75">
      <c r="A35" s="16" t="s">
        <v>39</v>
      </c>
      <c r="B35" s="17">
        <f>SUM(C35:N35)</f>
        <v>52845.780000000006</v>
      </c>
      <c r="C35" s="18">
        <f>C34+C33+C32</f>
        <v>9991.61</v>
      </c>
      <c r="D35" s="17">
        <f aca="true" t="shared" si="8" ref="D35:N35">D34+D33+D32</f>
        <v>4777.74</v>
      </c>
      <c r="E35" s="17">
        <f t="shared" si="8"/>
        <v>10275.22</v>
      </c>
      <c r="F35" s="17">
        <f t="shared" si="8"/>
        <v>2717.38</v>
      </c>
      <c r="G35" s="17">
        <f t="shared" si="8"/>
        <v>1569.1799999999998</v>
      </c>
      <c r="H35" s="17">
        <f t="shared" si="8"/>
        <v>2955.33</v>
      </c>
      <c r="I35" s="17">
        <f t="shared" si="8"/>
        <v>2513.11</v>
      </c>
      <c r="J35" s="17">
        <f t="shared" si="8"/>
        <v>1028.76</v>
      </c>
      <c r="K35" s="17">
        <f t="shared" si="8"/>
        <v>7586.51</v>
      </c>
      <c r="L35" s="17">
        <f t="shared" si="8"/>
        <v>1238.68</v>
      </c>
      <c r="M35" s="17">
        <f t="shared" si="8"/>
        <v>3760.25</v>
      </c>
      <c r="N35" s="19">
        <f t="shared" si="8"/>
        <v>4432.01</v>
      </c>
      <c r="O35" s="20"/>
      <c r="P35" s="20"/>
    </row>
    <row r="36" spans="1:16" ht="12.75">
      <c r="A36" s="16" t="s">
        <v>40</v>
      </c>
      <c r="B36" s="24"/>
      <c r="C36" s="2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6"/>
      <c r="O36" s="27"/>
      <c r="P36" s="27"/>
    </row>
    <row r="37" spans="1:16" s="22" customFormat="1" ht="12.75">
      <c r="A37" s="16" t="s">
        <v>41</v>
      </c>
      <c r="B37" s="17">
        <f>SUM(C37:N37)</f>
        <v>46625773.11250579</v>
      </c>
      <c r="C37" s="29">
        <f>C38*4151.46/1000</f>
        <v>5834004.1025058</v>
      </c>
      <c r="D37" s="17">
        <f>D38*3385.49</f>
        <v>4553484.05</v>
      </c>
      <c r="E37" s="17">
        <f aca="true" t="shared" si="9" ref="E37:N37">E38*3385.49</f>
        <v>9794222.57</v>
      </c>
      <c r="F37" s="17">
        <f t="shared" si="9"/>
        <v>2589899.8499999996</v>
      </c>
      <c r="G37" s="17">
        <f t="shared" si="9"/>
        <v>1496386.5799999998</v>
      </c>
      <c r="H37" s="17">
        <f t="shared" si="9"/>
        <v>2816727.6799999997</v>
      </c>
      <c r="I37" s="17">
        <f t="shared" si="9"/>
        <v>2396926.92</v>
      </c>
      <c r="J37" s="17">
        <f t="shared" si="9"/>
        <v>981792.1</v>
      </c>
      <c r="K37" s="17">
        <f t="shared" si="9"/>
        <v>7170467.819999999</v>
      </c>
      <c r="L37" s="17">
        <f t="shared" si="9"/>
        <v>1181536.01</v>
      </c>
      <c r="M37" s="17">
        <f t="shared" si="9"/>
        <v>3585233.9099999997</v>
      </c>
      <c r="N37" s="17">
        <f t="shared" si="9"/>
        <v>4225091.52</v>
      </c>
      <c r="O37" s="20"/>
      <c r="P37" s="20"/>
    </row>
    <row r="38" spans="1:16" ht="15.75">
      <c r="A38" s="23" t="s">
        <v>110</v>
      </c>
      <c r="B38" s="24">
        <f>SUM(D38:N38)</f>
        <v>12049</v>
      </c>
      <c r="C38" s="25">
        <f>ROUND(C35/(0.9*7900)*1000000,2)</f>
        <v>1405289.73</v>
      </c>
      <c r="D38" s="24">
        <f aca="true" t="shared" si="10" ref="D38:J38">ROUND(D35*213.2/5300*7000/1000,0)</f>
        <v>1345</v>
      </c>
      <c r="E38" s="24">
        <f t="shared" si="10"/>
        <v>2893</v>
      </c>
      <c r="F38" s="24">
        <f t="shared" si="10"/>
        <v>765</v>
      </c>
      <c r="G38" s="24">
        <f t="shared" si="10"/>
        <v>442</v>
      </c>
      <c r="H38" s="24">
        <f t="shared" si="10"/>
        <v>832</v>
      </c>
      <c r="I38" s="24">
        <f t="shared" si="10"/>
        <v>708</v>
      </c>
      <c r="J38" s="24">
        <f t="shared" si="10"/>
        <v>290</v>
      </c>
      <c r="K38" s="24">
        <f>ROUND(K35*211.4/5300*7000/1000,0)</f>
        <v>2118</v>
      </c>
      <c r="L38" s="24">
        <f>ROUND(L35*213.2/5300*7000/1000,0)</f>
        <v>349</v>
      </c>
      <c r="M38" s="24">
        <f>ROUND(M35*213.2/5300*7000/1000,0)</f>
        <v>1059</v>
      </c>
      <c r="N38" s="24">
        <f>ROUND(N35*213.2/5300*7000/1000,0)</f>
        <v>1248</v>
      </c>
      <c r="O38" s="27"/>
      <c r="P38" s="27"/>
    </row>
    <row r="39" spans="1:16" ht="12.75">
      <c r="A39" s="23" t="s">
        <v>42</v>
      </c>
      <c r="B39" s="24">
        <f>SUM(D39:N39)</f>
        <v>4043562.711864407</v>
      </c>
      <c r="C39" s="25">
        <f>C41*3.3/1.18*120</f>
        <v>0</v>
      </c>
      <c r="D39" s="24">
        <f>D38*3.3/1.18*120</f>
        <v>451372.8813559322</v>
      </c>
      <c r="E39" s="24">
        <f>E38*3.3/1.18*120</f>
        <v>970871.186440678</v>
      </c>
      <c r="F39" s="24">
        <f>F38*3.3/1.18*120</f>
        <v>256728.81355932204</v>
      </c>
      <c r="G39" s="24">
        <f aca="true" t="shared" si="11" ref="G39:M39">G38*3.3/1.18*120</f>
        <v>148332.2033898305</v>
      </c>
      <c r="H39" s="24">
        <f t="shared" si="11"/>
        <v>279213.55932203395</v>
      </c>
      <c r="I39" s="24">
        <f t="shared" si="11"/>
        <v>237600.00000000003</v>
      </c>
      <c r="J39" s="24">
        <f t="shared" si="11"/>
        <v>97322.03389830509</v>
      </c>
      <c r="K39" s="24">
        <f t="shared" si="11"/>
        <v>710786.4406779661</v>
      </c>
      <c r="L39" s="24">
        <f t="shared" si="11"/>
        <v>117122.03389830509</v>
      </c>
      <c r="M39" s="24">
        <f t="shared" si="11"/>
        <v>355393.22033898305</v>
      </c>
      <c r="N39" s="24">
        <f>N38*3.3/1.18*120</f>
        <v>418820.3389830508</v>
      </c>
      <c r="O39" s="27"/>
      <c r="P39" s="27"/>
    </row>
    <row r="40" spans="1:14" ht="12.75">
      <c r="A40" s="23" t="s">
        <v>43</v>
      </c>
      <c r="B40" s="24">
        <f>SUM(D40:N40)</f>
        <v>0</v>
      </c>
      <c r="C40" s="24"/>
      <c r="D40" s="30"/>
      <c r="E40" s="30"/>
      <c r="F40" s="30"/>
      <c r="G40" s="122"/>
      <c r="H40" s="122"/>
      <c r="I40" s="122"/>
      <c r="J40" s="122"/>
      <c r="K40" s="122"/>
      <c r="L40" s="122"/>
      <c r="M40" s="122"/>
      <c r="N40" s="31"/>
    </row>
    <row r="41" spans="1:16" ht="12.75">
      <c r="A41" s="23" t="s">
        <v>44</v>
      </c>
      <c r="B41" s="24">
        <f>SUM(D41:N41)</f>
        <v>0</v>
      </c>
      <c r="C41" s="24"/>
      <c r="D41" s="24"/>
      <c r="E41" s="24"/>
      <c r="F41" s="24"/>
      <c r="G41" s="121"/>
      <c r="H41" s="121"/>
      <c r="I41" s="121"/>
      <c r="J41" s="121"/>
      <c r="K41" s="121"/>
      <c r="L41" s="121"/>
      <c r="M41" s="121"/>
      <c r="N41" s="26"/>
      <c r="O41" s="27"/>
      <c r="P41" s="27"/>
    </row>
    <row r="42" spans="1:3" ht="12.75">
      <c r="A42" s="8" t="s">
        <v>111</v>
      </c>
      <c r="B42" s="80">
        <f>B37/B32</f>
        <v>1113.465391024789</v>
      </c>
      <c r="C42" s="80"/>
    </row>
    <row r="45" spans="1:14" ht="13.5" thickBot="1">
      <c r="A45" s="8" t="s">
        <v>8</v>
      </c>
      <c r="N45" s="8" t="s">
        <v>13</v>
      </c>
    </row>
    <row r="46" spans="1:14" s="15" customFormat="1" ht="12.75">
      <c r="A46" s="10"/>
      <c r="B46" s="11" t="s">
        <v>15</v>
      </c>
      <c r="C46" s="11"/>
      <c r="D46" s="13" t="s">
        <v>18</v>
      </c>
      <c r="E46" s="13" t="s">
        <v>19</v>
      </c>
      <c r="F46" s="13" t="s">
        <v>20</v>
      </c>
      <c r="G46" s="13" t="s">
        <v>21</v>
      </c>
      <c r="H46" s="13" t="s">
        <v>22</v>
      </c>
      <c r="I46" s="13" t="s">
        <v>23</v>
      </c>
      <c r="J46" s="13" t="s">
        <v>24</v>
      </c>
      <c r="K46" s="13" t="s">
        <v>25</v>
      </c>
      <c r="L46" s="13" t="s">
        <v>26</v>
      </c>
      <c r="M46" s="13" t="s">
        <v>27</v>
      </c>
      <c r="N46" s="14" t="s">
        <v>28</v>
      </c>
    </row>
    <row r="47" spans="1:16" s="22" customFormat="1" ht="12.75">
      <c r="A47" s="16" t="s">
        <v>36</v>
      </c>
      <c r="B47" s="17">
        <f>SUM(C47:N47)</f>
        <v>41874.47</v>
      </c>
      <c r="C47" s="18">
        <f>8061.58</f>
        <v>8061.58</v>
      </c>
      <c r="D47" s="17">
        <v>3697.18</v>
      </c>
      <c r="E47" s="17">
        <v>8029.69</v>
      </c>
      <c r="F47" s="17">
        <v>2315.6</v>
      </c>
      <c r="G47" s="17">
        <v>1353.37</v>
      </c>
      <c r="H47" s="17">
        <v>2230.36</v>
      </c>
      <c r="I47" s="17">
        <v>2247.17</v>
      </c>
      <c r="J47" s="17">
        <v>649</v>
      </c>
      <c r="K47" s="17">
        <v>5702.91</v>
      </c>
      <c r="L47" s="17">
        <v>1112.2</v>
      </c>
      <c r="M47" s="17">
        <v>2769.11</v>
      </c>
      <c r="N47" s="19">
        <v>3706.3</v>
      </c>
      <c r="O47" s="20"/>
      <c r="P47" s="20"/>
    </row>
    <row r="48" spans="1:16" ht="12.75">
      <c r="A48" s="23" t="s">
        <v>37</v>
      </c>
      <c r="B48" s="17">
        <f>SUM(C48:N48)</f>
        <v>1238.5900000000001</v>
      </c>
      <c r="C48" s="25">
        <v>234.18</v>
      </c>
      <c r="D48" s="24">
        <v>111.98</v>
      </c>
      <c r="E48" s="24">
        <v>240.83</v>
      </c>
      <c r="F48" s="24">
        <v>63.69</v>
      </c>
      <c r="G48" s="24">
        <v>36.78</v>
      </c>
      <c r="H48" s="24">
        <v>69.27</v>
      </c>
      <c r="I48" s="24">
        <v>58.9</v>
      </c>
      <c r="J48" s="24">
        <v>24.11</v>
      </c>
      <c r="K48" s="24">
        <v>177.81</v>
      </c>
      <c r="L48" s="24">
        <v>29.03</v>
      </c>
      <c r="M48" s="24">
        <v>88.13</v>
      </c>
      <c r="N48" s="26">
        <v>103.88</v>
      </c>
      <c r="O48" s="27"/>
      <c r="P48" s="27"/>
    </row>
    <row r="49" spans="1:16" ht="12.75">
      <c r="A49" s="23" t="s">
        <v>38</v>
      </c>
      <c r="B49" s="17">
        <f>SUM(C49:N49)</f>
        <v>9732.72</v>
      </c>
      <c r="C49" s="25">
        <v>1695.85</v>
      </c>
      <c r="D49" s="24">
        <v>968.58</v>
      </c>
      <c r="E49" s="24">
        <v>2004.7</v>
      </c>
      <c r="F49" s="24">
        <v>338.09</v>
      </c>
      <c r="G49" s="24">
        <v>179.03</v>
      </c>
      <c r="H49" s="24">
        <v>655.7</v>
      </c>
      <c r="I49" s="24">
        <v>207.04</v>
      </c>
      <c r="J49" s="24">
        <v>355.65</v>
      </c>
      <c r="K49" s="24">
        <v>1705.79</v>
      </c>
      <c r="L49" s="24">
        <v>97.45</v>
      </c>
      <c r="M49" s="24">
        <v>903.01</v>
      </c>
      <c r="N49" s="26">
        <v>621.83</v>
      </c>
      <c r="O49" s="27"/>
      <c r="P49" s="27"/>
    </row>
    <row r="50" spans="1:16" s="22" customFormat="1" ht="12.75">
      <c r="A50" s="16" t="s">
        <v>39</v>
      </c>
      <c r="B50" s="17">
        <f>SUM(C50:N50)</f>
        <v>52845.780000000006</v>
      </c>
      <c r="C50" s="18">
        <f>C49+C48+C47</f>
        <v>9991.61</v>
      </c>
      <c r="D50" s="17">
        <f aca="true" t="shared" si="12" ref="D50:N50">D49+D48+D47</f>
        <v>4777.74</v>
      </c>
      <c r="E50" s="17">
        <f t="shared" si="12"/>
        <v>10275.22</v>
      </c>
      <c r="F50" s="17">
        <f t="shared" si="12"/>
        <v>2717.38</v>
      </c>
      <c r="G50" s="17">
        <f t="shared" si="12"/>
        <v>1569.1799999999998</v>
      </c>
      <c r="H50" s="17">
        <f t="shared" si="12"/>
        <v>2955.33</v>
      </c>
      <c r="I50" s="17">
        <f t="shared" si="12"/>
        <v>2513.11</v>
      </c>
      <c r="J50" s="17">
        <f t="shared" si="12"/>
        <v>1028.76</v>
      </c>
      <c r="K50" s="17">
        <f t="shared" si="12"/>
        <v>7586.51</v>
      </c>
      <c r="L50" s="17">
        <f t="shared" si="12"/>
        <v>1238.68</v>
      </c>
      <c r="M50" s="17">
        <f t="shared" si="12"/>
        <v>3760.25</v>
      </c>
      <c r="N50" s="19">
        <f t="shared" si="12"/>
        <v>4432.01</v>
      </c>
      <c r="O50" s="20"/>
      <c r="P50" s="20"/>
    </row>
    <row r="51" spans="1:16" ht="12.75">
      <c r="A51" s="16" t="s">
        <v>40</v>
      </c>
      <c r="B51" s="24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6"/>
      <c r="O51" s="27"/>
      <c r="P51" s="27"/>
    </row>
    <row r="52" spans="1:16" s="22" customFormat="1" ht="12.75">
      <c r="A52" s="16" t="s">
        <v>41</v>
      </c>
      <c r="B52" s="17">
        <f>SUM(C52:N52)</f>
        <v>56475211.3131714</v>
      </c>
      <c r="C52" s="29">
        <f>C53*4774.18/1000</f>
        <v>6709106.1231714</v>
      </c>
      <c r="D52" s="17">
        <f>D53*4130.31</f>
        <v>5555266.95</v>
      </c>
      <c r="E52" s="17">
        <f aca="true" t="shared" si="13" ref="E52:N52">E53*4130.31</f>
        <v>11948986.830000002</v>
      </c>
      <c r="F52" s="17">
        <f t="shared" si="13"/>
        <v>3159687.1500000004</v>
      </c>
      <c r="G52" s="17">
        <f t="shared" si="13"/>
        <v>1825597.0200000003</v>
      </c>
      <c r="H52" s="17">
        <f t="shared" si="13"/>
        <v>3436417.9200000004</v>
      </c>
      <c r="I52" s="17">
        <f t="shared" si="13"/>
        <v>2924259.4800000004</v>
      </c>
      <c r="J52" s="17">
        <f t="shared" si="13"/>
        <v>1197789.9000000001</v>
      </c>
      <c r="K52" s="17">
        <f t="shared" si="13"/>
        <v>8747996.58</v>
      </c>
      <c r="L52" s="17">
        <f t="shared" si="13"/>
        <v>1441478.1900000002</v>
      </c>
      <c r="M52" s="17">
        <f t="shared" si="13"/>
        <v>4373998.29</v>
      </c>
      <c r="N52" s="17">
        <f t="shared" si="13"/>
        <v>5154626.880000001</v>
      </c>
      <c r="O52" s="20"/>
      <c r="P52" s="20"/>
    </row>
    <row r="53" spans="1:16" ht="15.75">
      <c r="A53" s="23" t="s">
        <v>110</v>
      </c>
      <c r="B53" s="24">
        <f>SUM(D53:N53)</f>
        <v>12049</v>
      </c>
      <c r="C53" s="25">
        <f>ROUND(C50/(0.9*7900)*1000000,2)</f>
        <v>1405289.73</v>
      </c>
      <c r="D53" s="24">
        <f aca="true" t="shared" si="14" ref="D53:J53">ROUND(D50*213.2/5300*7000/1000,0)</f>
        <v>1345</v>
      </c>
      <c r="E53" s="24">
        <f t="shared" si="14"/>
        <v>2893</v>
      </c>
      <c r="F53" s="24">
        <f t="shared" si="14"/>
        <v>765</v>
      </c>
      <c r="G53" s="24">
        <f t="shared" si="14"/>
        <v>442</v>
      </c>
      <c r="H53" s="24">
        <f t="shared" si="14"/>
        <v>832</v>
      </c>
      <c r="I53" s="24">
        <f t="shared" si="14"/>
        <v>708</v>
      </c>
      <c r="J53" s="24">
        <f t="shared" si="14"/>
        <v>290</v>
      </c>
      <c r="K53" s="24">
        <f>ROUND(K50*211.4/5300*7000/1000,0)</f>
        <v>2118</v>
      </c>
      <c r="L53" s="24">
        <f>ROUND(L50*213.2/5300*7000/1000,0)</f>
        <v>349</v>
      </c>
      <c r="M53" s="24">
        <f>ROUND(M50*213.2/5300*7000/1000,0)</f>
        <v>1059</v>
      </c>
      <c r="N53" s="24">
        <f>ROUND(N50*213.2/5300*7000/1000,0)</f>
        <v>1248</v>
      </c>
      <c r="O53" s="27"/>
      <c r="P53" s="27"/>
    </row>
    <row r="54" spans="1:16" ht="12.75">
      <c r="A54" s="23" t="s">
        <v>42</v>
      </c>
      <c r="B54" s="24">
        <f>SUM(D54:N54)</f>
        <v>4043562.711864407</v>
      </c>
      <c r="C54" s="25">
        <f>C56*3.3/1.18*120</f>
        <v>0</v>
      </c>
      <c r="D54" s="24">
        <f>D53*3.3/1.18*120</f>
        <v>451372.8813559322</v>
      </c>
      <c r="E54" s="24">
        <f>E53*3.3/1.18*120</f>
        <v>970871.186440678</v>
      </c>
      <c r="F54" s="24">
        <f>F53*3.3/1.18*120</f>
        <v>256728.81355932204</v>
      </c>
      <c r="G54" s="24">
        <f aca="true" t="shared" si="15" ref="G54:M54">G53*3.3/1.18*120</f>
        <v>148332.2033898305</v>
      </c>
      <c r="H54" s="24">
        <f t="shared" si="15"/>
        <v>279213.55932203395</v>
      </c>
      <c r="I54" s="24">
        <f t="shared" si="15"/>
        <v>237600.00000000003</v>
      </c>
      <c r="J54" s="24">
        <f t="shared" si="15"/>
        <v>97322.03389830509</v>
      </c>
      <c r="K54" s="24">
        <f t="shared" si="15"/>
        <v>710786.4406779661</v>
      </c>
      <c r="L54" s="24">
        <f t="shared" si="15"/>
        <v>117122.03389830509</v>
      </c>
      <c r="M54" s="24">
        <f t="shared" si="15"/>
        <v>355393.22033898305</v>
      </c>
      <c r="N54" s="24">
        <f>N53*3.3/1.18*120</f>
        <v>418820.3389830508</v>
      </c>
      <c r="O54" s="27"/>
      <c r="P54" s="27"/>
    </row>
    <row r="55" spans="1:14" ht="12.75">
      <c r="A55" s="23" t="s">
        <v>43</v>
      </c>
      <c r="B55" s="24">
        <f>SUM(D55:N55)</f>
        <v>0</v>
      </c>
      <c r="C55" s="24"/>
      <c r="D55" s="30"/>
      <c r="E55" s="30"/>
      <c r="F55" s="30"/>
      <c r="G55" s="122"/>
      <c r="H55" s="122"/>
      <c r="I55" s="122"/>
      <c r="J55" s="122"/>
      <c r="K55" s="122"/>
      <c r="L55" s="122"/>
      <c r="M55" s="122"/>
      <c r="N55" s="31"/>
    </row>
    <row r="56" spans="1:16" ht="12.75">
      <c r="A56" s="23" t="s">
        <v>44</v>
      </c>
      <c r="B56" s="24">
        <f>SUM(D56:N56)</f>
        <v>0</v>
      </c>
      <c r="C56" s="24"/>
      <c r="D56" s="24"/>
      <c r="E56" s="24"/>
      <c r="F56" s="24"/>
      <c r="G56" s="121"/>
      <c r="H56" s="121"/>
      <c r="I56" s="121"/>
      <c r="J56" s="121"/>
      <c r="K56" s="121"/>
      <c r="L56" s="121"/>
      <c r="M56" s="121"/>
      <c r="N56" s="26"/>
      <c r="O56" s="27"/>
      <c r="P56" s="27"/>
    </row>
    <row r="57" spans="1:3" ht="12.75">
      <c r="A57" s="8" t="s">
        <v>111</v>
      </c>
      <c r="B57" s="80">
        <f>B52/B47</f>
        <v>1348.678832548123</v>
      </c>
      <c r="C57" s="80"/>
    </row>
    <row r="60" spans="1:14" ht="13.5" thickBot="1">
      <c r="A60" s="8" t="s">
        <v>9</v>
      </c>
      <c r="N60" s="8" t="s">
        <v>13</v>
      </c>
    </row>
    <row r="61" spans="1:14" s="15" customFormat="1" ht="12.75">
      <c r="A61" s="10"/>
      <c r="B61" s="11" t="s">
        <v>15</v>
      </c>
      <c r="C61" s="11"/>
      <c r="D61" s="13" t="s">
        <v>18</v>
      </c>
      <c r="E61" s="13" t="s">
        <v>19</v>
      </c>
      <c r="F61" s="13" t="s">
        <v>20</v>
      </c>
      <c r="G61" s="13" t="s">
        <v>21</v>
      </c>
      <c r="H61" s="13" t="s">
        <v>22</v>
      </c>
      <c r="I61" s="13" t="s">
        <v>23</v>
      </c>
      <c r="J61" s="13" t="s">
        <v>24</v>
      </c>
      <c r="K61" s="13" t="s">
        <v>25</v>
      </c>
      <c r="L61" s="13" t="s">
        <v>26</v>
      </c>
      <c r="M61" s="13" t="s">
        <v>27</v>
      </c>
      <c r="N61" s="14" t="s">
        <v>28</v>
      </c>
    </row>
    <row r="62" spans="1:16" s="22" customFormat="1" ht="12.75">
      <c r="A62" s="16" t="s">
        <v>36</v>
      </c>
      <c r="B62" s="17">
        <f>SUM(C62:N62)</f>
        <v>41874.47</v>
      </c>
      <c r="C62" s="18">
        <f>8061.58</f>
        <v>8061.58</v>
      </c>
      <c r="D62" s="17">
        <v>3697.18</v>
      </c>
      <c r="E62" s="17">
        <v>8029.69</v>
      </c>
      <c r="F62" s="17">
        <v>2315.6</v>
      </c>
      <c r="G62" s="17">
        <v>1353.37</v>
      </c>
      <c r="H62" s="17">
        <v>2230.36</v>
      </c>
      <c r="I62" s="17">
        <v>2247.17</v>
      </c>
      <c r="J62" s="17">
        <v>649</v>
      </c>
      <c r="K62" s="17">
        <v>5702.91</v>
      </c>
      <c r="L62" s="17">
        <v>1112.2</v>
      </c>
      <c r="M62" s="17">
        <v>2769.11</v>
      </c>
      <c r="N62" s="19">
        <v>3706.3</v>
      </c>
      <c r="O62" s="20"/>
      <c r="P62" s="20"/>
    </row>
    <row r="63" spans="1:16" ht="12.75">
      <c r="A63" s="23" t="s">
        <v>37</v>
      </c>
      <c r="B63" s="17">
        <f>SUM(C63:N63)</f>
        <v>1238.5900000000001</v>
      </c>
      <c r="C63" s="25">
        <v>234.18</v>
      </c>
      <c r="D63" s="24">
        <v>111.98</v>
      </c>
      <c r="E63" s="24">
        <v>240.83</v>
      </c>
      <c r="F63" s="24">
        <v>63.69</v>
      </c>
      <c r="G63" s="24">
        <v>36.78</v>
      </c>
      <c r="H63" s="24">
        <v>69.27</v>
      </c>
      <c r="I63" s="24">
        <v>58.9</v>
      </c>
      <c r="J63" s="24">
        <v>24.11</v>
      </c>
      <c r="K63" s="24">
        <v>177.81</v>
      </c>
      <c r="L63" s="24">
        <v>29.03</v>
      </c>
      <c r="M63" s="24">
        <v>88.13</v>
      </c>
      <c r="N63" s="26">
        <v>103.88</v>
      </c>
      <c r="O63" s="27"/>
      <c r="P63" s="27"/>
    </row>
    <row r="64" spans="1:16" ht="12.75">
      <c r="A64" s="23" t="s">
        <v>38</v>
      </c>
      <c r="B64" s="17">
        <f>SUM(C64:N64)</f>
        <v>9732.72</v>
      </c>
      <c r="C64" s="25">
        <v>1695.85</v>
      </c>
      <c r="D64" s="24">
        <v>968.58</v>
      </c>
      <c r="E64" s="24">
        <v>2004.7</v>
      </c>
      <c r="F64" s="24">
        <v>338.09</v>
      </c>
      <c r="G64" s="24">
        <v>179.03</v>
      </c>
      <c r="H64" s="24">
        <v>655.7</v>
      </c>
      <c r="I64" s="24">
        <v>207.04</v>
      </c>
      <c r="J64" s="24">
        <v>355.65</v>
      </c>
      <c r="K64" s="24">
        <v>1705.79</v>
      </c>
      <c r="L64" s="24">
        <v>97.45</v>
      </c>
      <c r="M64" s="24">
        <v>903.01</v>
      </c>
      <c r="N64" s="26">
        <v>621.83</v>
      </c>
      <c r="O64" s="27"/>
      <c r="P64" s="27"/>
    </row>
    <row r="65" spans="1:16" s="22" customFormat="1" ht="12.75">
      <c r="A65" s="16" t="s">
        <v>39</v>
      </c>
      <c r="B65" s="17">
        <f>SUM(C65:N65)</f>
        <v>52845.780000000006</v>
      </c>
      <c r="C65" s="18">
        <f>C64+C63+C62</f>
        <v>9991.61</v>
      </c>
      <c r="D65" s="17">
        <f aca="true" t="shared" si="16" ref="D65:N65">D64+D63+D62</f>
        <v>4777.74</v>
      </c>
      <c r="E65" s="17">
        <f t="shared" si="16"/>
        <v>10275.22</v>
      </c>
      <c r="F65" s="17">
        <f t="shared" si="16"/>
        <v>2717.38</v>
      </c>
      <c r="G65" s="17">
        <f t="shared" si="16"/>
        <v>1569.1799999999998</v>
      </c>
      <c r="H65" s="17">
        <f t="shared" si="16"/>
        <v>2955.33</v>
      </c>
      <c r="I65" s="17">
        <f t="shared" si="16"/>
        <v>2513.11</v>
      </c>
      <c r="J65" s="17">
        <f t="shared" si="16"/>
        <v>1028.76</v>
      </c>
      <c r="K65" s="17">
        <f t="shared" si="16"/>
        <v>7586.51</v>
      </c>
      <c r="L65" s="17">
        <f t="shared" si="16"/>
        <v>1238.68</v>
      </c>
      <c r="M65" s="17">
        <f t="shared" si="16"/>
        <v>3760.25</v>
      </c>
      <c r="N65" s="19">
        <f t="shared" si="16"/>
        <v>4432.01</v>
      </c>
      <c r="O65" s="20"/>
      <c r="P65" s="20"/>
    </row>
    <row r="66" spans="1:16" ht="12.75">
      <c r="A66" s="16" t="s">
        <v>40</v>
      </c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6"/>
      <c r="O66" s="27"/>
      <c r="P66" s="27"/>
    </row>
    <row r="67" spans="1:16" s="22" customFormat="1" ht="12.75">
      <c r="A67" s="16" t="s">
        <v>41</v>
      </c>
      <c r="B67" s="17">
        <f>SUM(C67:N67)</f>
        <v>68430025.7875163</v>
      </c>
      <c r="C67" s="29">
        <f>C68*5490.31/1000</f>
        <v>7715476.2575163</v>
      </c>
      <c r="D67" s="17">
        <f>D68*5038.97</f>
        <v>6777414.65</v>
      </c>
      <c r="E67" s="17">
        <f aca="true" t="shared" si="17" ref="E67:N67">E68*5038.97</f>
        <v>14577740.21</v>
      </c>
      <c r="F67" s="17">
        <f t="shared" si="17"/>
        <v>3854812.0500000003</v>
      </c>
      <c r="G67" s="17">
        <f t="shared" si="17"/>
        <v>2227224.74</v>
      </c>
      <c r="H67" s="17">
        <f t="shared" si="17"/>
        <v>4192423.04</v>
      </c>
      <c r="I67" s="17">
        <f t="shared" si="17"/>
        <v>3567590.7600000002</v>
      </c>
      <c r="J67" s="17">
        <f t="shared" si="17"/>
        <v>1461301.3</v>
      </c>
      <c r="K67" s="17">
        <f t="shared" si="17"/>
        <v>10672538.46</v>
      </c>
      <c r="L67" s="17">
        <f t="shared" si="17"/>
        <v>1758600.53</v>
      </c>
      <c r="M67" s="17">
        <f t="shared" si="17"/>
        <v>5336269.23</v>
      </c>
      <c r="N67" s="17">
        <f t="shared" si="17"/>
        <v>6288634.5600000005</v>
      </c>
      <c r="O67" s="20"/>
      <c r="P67" s="20"/>
    </row>
    <row r="68" spans="1:16" ht="15.75">
      <c r="A68" s="23" t="s">
        <v>110</v>
      </c>
      <c r="B68" s="24">
        <f>SUM(D68:N68)</f>
        <v>12049</v>
      </c>
      <c r="C68" s="25">
        <f>ROUND(C65/(0.9*7900)*1000000,2)</f>
        <v>1405289.73</v>
      </c>
      <c r="D68" s="24">
        <f aca="true" t="shared" si="18" ref="D68:J68">ROUND(D65*213.2/5300*7000/1000,0)</f>
        <v>1345</v>
      </c>
      <c r="E68" s="24">
        <f t="shared" si="18"/>
        <v>2893</v>
      </c>
      <c r="F68" s="24">
        <f t="shared" si="18"/>
        <v>765</v>
      </c>
      <c r="G68" s="24">
        <f t="shared" si="18"/>
        <v>442</v>
      </c>
      <c r="H68" s="24">
        <f t="shared" si="18"/>
        <v>832</v>
      </c>
      <c r="I68" s="24">
        <f t="shared" si="18"/>
        <v>708</v>
      </c>
      <c r="J68" s="24">
        <f t="shared" si="18"/>
        <v>290</v>
      </c>
      <c r="K68" s="24">
        <f>ROUND(K65*211.4/5300*7000/1000,0)</f>
        <v>2118</v>
      </c>
      <c r="L68" s="24">
        <f>ROUND(L65*213.2/5300*7000/1000,0)</f>
        <v>349</v>
      </c>
      <c r="M68" s="24">
        <f>ROUND(M65*213.2/5300*7000/1000,0)</f>
        <v>1059</v>
      </c>
      <c r="N68" s="24">
        <f>ROUND(N65*213.2/5300*7000/1000,0)</f>
        <v>1248</v>
      </c>
      <c r="O68" s="27"/>
      <c r="P68" s="27"/>
    </row>
    <row r="69" spans="1:16" ht="12.75">
      <c r="A69" s="23" t="s">
        <v>42</v>
      </c>
      <c r="B69" s="24">
        <f>SUM(D69:N69)</f>
        <v>4043562.711864407</v>
      </c>
      <c r="C69" s="25">
        <f>C71*3.3/1.18*120</f>
        <v>0</v>
      </c>
      <c r="D69" s="24">
        <f>D68*3.3/1.18*120</f>
        <v>451372.8813559322</v>
      </c>
      <c r="E69" s="24">
        <f>E68*3.3/1.18*120</f>
        <v>970871.186440678</v>
      </c>
      <c r="F69" s="24">
        <f>F68*3.3/1.18*120</f>
        <v>256728.81355932204</v>
      </c>
      <c r="G69" s="24">
        <f aca="true" t="shared" si="19" ref="G69:M69">G68*3.3/1.18*120</f>
        <v>148332.2033898305</v>
      </c>
      <c r="H69" s="24">
        <f t="shared" si="19"/>
        <v>279213.55932203395</v>
      </c>
      <c r="I69" s="24">
        <f t="shared" si="19"/>
        <v>237600.00000000003</v>
      </c>
      <c r="J69" s="24">
        <f t="shared" si="19"/>
        <v>97322.03389830509</v>
      </c>
      <c r="K69" s="24">
        <f t="shared" si="19"/>
        <v>710786.4406779661</v>
      </c>
      <c r="L69" s="24">
        <f t="shared" si="19"/>
        <v>117122.03389830509</v>
      </c>
      <c r="M69" s="24">
        <f t="shared" si="19"/>
        <v>355393.22033898305</v>
      </c>
      <c r="N69" s="24">
        <f>N68*3.3/1.18*120</f>
        <v>418820.3389830508</v>
      </c>
      <c r="O69" s="27"/>
      <c r="P69" s="27"/>
    </row>
    <row r="70" spans="1:14" ht="12.75">
      <c r="A70" s="23" t="s">
        <v>43</v>
      </c>
      <c r="B70" s="24">
        <f>SUM(D70:N70)</f>
        <v>0</v>
      </c>
      <c r="C70" s="24"/>
      <c r="D70" s="30"/>
      <c r="E70" s="30"/>
      <c r="F70" s="30"/>
      <c r="G70" s="122"/>
      <c r="H70" s="122"/>
      <c r="I70" s="122"/>
      <c r="J70" s="122"/>
      <c r="K70" s="122"/>
      <c r="L70" s="122"/>
      <c r="M70" s="122"/>
      <c r="N70" s="31"/>
    </row>
    <row r="71" spans="1:16" ht="12.75">
      <c r="A71" s="23" t="s">
        <v>44</v>
      </c>
      <c r="B71" s="24">
        <f>SUM(D71:N71)</f>
        <v>0</v>
      </c>
      <c r="C71" s="24"/>
      <c r="D71" s="24"/>
      <c r="E71" s="24"/>
      <c r="F71" s="24"/>
      <c r="G71" s="121"/>
      <c r="H71" s="121"/>
      <c r="I71" s="121"/>
      <c r="J71" s="121"/>
      <c r="K71" s="121"/>
      <c r="L71" s="121"/>
      <c r="M71" s="121"/>
      <c r="N71" s="26"/>
      <c r="O71" s="27"/>
      <c r="P71" s="27"/>
    </row>
    <row r="72" spans="1:3" ht="12.75">
      <c r="A72" s="8" t="s">
        <v>111</v>
      </c>
      <c r="B72" s="80">
        <f>B67/B62</f>
        <v>1634.170552785893</v>
      </c>
      <c r="C72" s="80"/>
    </row>
    <row r="75" spans="2:3" ht="12.75">
      <c r="B75" s="88">
        <f>SUM(B9,B23,B37,B52,B67)</f>
        <v>238715195.1622685</v>
      </c>
      <c r="C75" s="88"/>
    </row>
  </sheetData>
  <printOptions/>
  <pageMargins left="0.3" right="0.18" top="1" bottom="1" header="0.5" footer="0.5"/>
  <pageSetup horizontalDpi="600" verticalDpi="600" orientation="portrait" paperSize="9" scale="61" r:id="rId1"/>
  <colBreaks count="1" manualBreakCount="1">
    <brk id="14" min="2" max="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7">
      <selection activeCell="E46" sqref="E46:J46"/>
    </sheetView>
  </sheetViews>
  <sheetFormatPr defaultColWidth="9.125" defaultRowHeight="12.75"/>
  <cols>
    <col min="1" max="1" width="9.125" style="98" customWidth="1"/>
    <col min="2" max="2" width="36.375" style="96" customWidth="1"/>
    <col min="3" max="3" width="12.875" style="89" bestFit="1" customWidth="1"/>
    <col min="4" max="4" width="11.75390625" style="89" bestFit="1" customWidth="1"/>
    <col min="5" max="5" width="14.00390625" style="89" bestFit="1" customWidth="1"/>
    <col min="6" max="6" width="10.875" style="89" bestFit="1" customWidth="1"/>
    <col min="7" max="7" width="12.25390625" style="89" bestFit="1" customWidth="1"/>
    <col min="8" max="9" width="13.375" style="89" bestFit="1" customWidth="1"/>
    <col min="10" max="10" width="14.00390625" style="89" bestFit="1" customWidth="1"/>
    <col min="11" max="16384" width="9.125" style="89" customWidth="1"/>
  </cols>
  <sheetData>
    <row r="2" spans="2:10" ht="12.75">
      <c r="B2" s="129" t="s">
        <v>115</v>
      </c>
      <c r="C2" s="128"/>
      <c r="D2" s="128"/>
      <c r="E2" s="128" t="s">
        <v>120</v>
      </c>
      <c r="F2" s="128"/>
      <c r="G2" s="128"/>
      <c r="H2" s="128"/>
      <c r="I2" s="128"/>
      <c r="J2" s="128"/>
    </row>
    <row r="3" spans="1:10" s="91" customFormat="1" ht="12.75">
      <c r="A3" s="99"/>
      <c r="B3" s="130"/>
      <c r="C3" s="92"/>
      <c r="D3" s="127" t="s">
        <v>117</v>
      </c>
      <c r="E3" s="127" t="s">
        <v>5</v>
      </c>
      <c r="F3" s="127" t="s">
        <v>117</v>
      </c>
      <c r="G3" s="127" t="s">
        <v>6</v>
      </c>
      <c r="H3" s="127" t="s">
        <v>7</v>
      </c>
      <c r="I3" s="127" t="s">
        <v>8</v>
      </c>
      <c r="J3" s="127" t="s">
        <v>9</v>
      </c>
    </row>
    <row r="4" spans="1:10" s="91" customFormat="1" ht="12.75">
      <c r="A4" s="99"/>
      <c r="B4" s="131"/>
      <c r="C4" s="92" t="s">
        <v>29</v>
      </c>
      <c r="D4" s="127"/>
      <c r="E4" s="127"/>
      <c r="F4" s="127"/>
      <c r="G4" s="127"/>
      <c r="H4" s="127"/>
      <c r="I4" s="127"/>
      <c r="J4" s="127"/>
    </row>
    <row r="5" spans="1:10" s="85" customFormat="1" ht="12.75">
      <c r="A5" s="100">
        <v>1</v>
      </c>
      <c r="B5" s="93" t="s">
        <v>36</v>
      </c>
      <c r="C5" s="82">
        <f>'2009 год план'!R4+'2009 год план'!S4</f>
        <v>41874.47000000001</v>
      </c>
      <c r="D5" s="87"/>
      <c r="E5" s="82">
        <f>C5</f>
        <v>41874.47000000001</v>
      </c>
      <c r="F5" s="87"/>
      <c r="G5" s="87">
        <f>E5</f>
        <v>41874.47000000001</v>
      </c>
      <c r="H5" s="87">
        <f>G5</f>
        <v>41874.47000000001</v>
      </c>
      <c r="I5" s="87">
        <f aca="true" t="shared" si="0" ref="I5:J8">G5</f>
        <v>41874.47000000001</v>
      </c>
      <c r="J5" s="87">
        <f t="shared" si="0"/>
        <v>41874.47000000001</v>
      </c>
    </row>
    <row r="6" spans="2:10" ht="12.75">
      <c r="B6" s="90" t="s">
        <v>37</v>
      </c>
      <c r="C6" s="83">
        <f>'2009 год план'!R5+'2009 год план'!S5</f>
        <v>1238.59</v>
      </c>
      <c r="D6" s="81"/>
      <c r="E6" s="83">
        <f>C6</f>
        <v>1238.59</v>
      </c>
      <c r="F6" s="81"/>
      <c r="G6" s="81">
        <f>E6</f>
        <v>1238.59</v>
      </c>
      <c r="H6" s="81">
        <f>G6</f>
        <v>1238.59</v>
      </c>
      <c r="I6" s="81">
        <f t="shared" si="0"/>
        <v>1238.59</v>
      </c>
      <c r="J6" s="81">
        <f t="shared" si="0"/>
        <v>1238.59</v>
      </c>
    </row>
    <row r="7" spans="2:10" ht="12.75">
      <c r="B7" s="90" t="s">
        <v>38</v>
      </c>
      <c r="C7" s="83">
        <f>'2009 год план'!R6+'2009 год план'!S6</f>
        <v>9732.72</v>
      </c>
      <c r="D7" s="81"/>
      <c r="E7" s="83">
        <f>C7</f>
        <v>9732.72</v>
      </c>
      <c r="F7" s="81"/>
      <c r="G7" s="81">
        <f>E7</f>
        <v>9732.72</v>
      </c>
      <c r="H7" s="81">
        <f>G7</f>
        <v>9732.72</v>
      </c>
      <c r="I7" s="81">
        <f t="shared" si="0"/>
        <v>9732.72</v>
      </c>
      <c r="J7" s="81">
        <f t="shared" si="0"/>
        <v>9732.72</v>
      </c>
    </row>
    <row r="8" spans="1:10" s="85" customFormat="1" ht="12.75">
      <c r="A8" s="100"/>
      <c r="B8" s="93" t="s">
        <v>39</v>
      </c>
      <c r="C8" s="82">
        <f>'2009 год план'!R7+'2009 год план'!S7</f>
        <v>52845.78</v>
      </c>
      <c r="D8" s="87"/>
      <c r="E8" s="82">
        <f>C8</f>
        <v>52845.78</v>
      </c>
      <c r="F8" s="87"/>
      <c r="G8" s="87">
        <f>E8</f>
        <v>52845.78</v>
      </c>
      <c r="H8" s="87">
        <f>G8</f>
        <v>52845.78</v>
      </c>
      <c r="I8" s="87">
        <f t="shared" si="0"/>
        <v>52845.78</v>
      </c>
      <c r="J8" s="87">
        <f t="shared" si="0"/>
        <v>52845.78</v>
      </c>
    </row>
    <row r="9" spans="2:10" ht="25.5">
      <c r="B9" s="93" t="s">
        <v>116</v>
      </c>
      <c r="C9" s="93"/>
      <c r="D9" s="93"/>
      <c r="E9" s="93"/>
      <c r="F9" s="93"/>
      <c r="G9" s="93"/>
      <c r="H9" s="93"/>
      <c r="I9" s="93"/>
      <c r="J9" s="93"/>
    </row>
    <row r="10" spans="1:10" ht="12.75">
      <c r="A10" s="98">
        <v>2</v>
      </c>
      <c r="B10" s="90" t="s">
        <v>41</v>
      </c>
      <c r="C10" s="84">
        <f>'2009 год план'!R14+'2009 год план'!S14</f>
        <v>26682110.09353568</v>
      </c>
      <c r="D10" s="84">
        <f aca="true" t="shared" si="1" ref="D10:D25">C10/$C$5</f>
        <v>637.1927834199615</v>
      </c>
      <c r="E10" s="84">
        <f>уголь!B9</f>
        <v>31705617.290989</v>
      </c>
      <c r="F10" s="84">
        <f aca="true" t="shared" si="2" ref="F10:F25">E10/$E$5</f>
        <v>757.1586527779097</v>
      </c>
      <c r="G10" s="84">
        <f>уголь!B23</f>
        <v>35478567.658086</v>
      </c>
      <c r="H10" s="84">
        <f>уголь!B37</f>
        <v>46625773.11250579</v>
      </c>
      <c r="I10" s="84">
        <f>уголь!B52</f>
        <v>56475211.3131714</v>
      </c>
      <c r="J10" s="84">
        <f>уголь!B67</f>
        <v>68430025.7875163</v>
      </c>
    </row>
    <row r="11" spans="1:10" s="85" customFormat="1" ht="12.75">
      <c r="A11" s="100"/>
      <c r="B11" s="90" t="s">
        <v>46</v>
      </c>
      <c r="C11" s="84">
        <f>'2009 год план'!R15+'2009 год план'!S15</f>
        <v>4671880.226750974</v>
      </c>
      <c r="D11" s="84">
        <f t="shared" si="1"/>
        <v>111.56870109044897</v>
      </c>
      <c r="E11" s="84">
        <f>C11*1.111</f>
        <v>5190458.931920332</v>
      </c>
      <c r="F11" s="84">
        <f t="shared" si="2"/>
        <v>123.95282691148881</v>
      </c>
      <c r="G11" s="84">
        <f aca="true" t="shared" si="3" ref="G11:G25">E11*1.1</f>
        <v>5709504.825112365</v>
      </c>
      <c r="H11" s="84">
        <f aca="true" t="shared" si="4" ref="H11:H25">G11*1.09</f>
        <v>6223360.259372478</v>
      </c>
      <c r="I11" s="84">
        <f aca="true" t="shared" si="5" ref="I11:I25">H11*1.08</f>
        <v>6721229.080122277</v>
      </c>
      <c r="J11" s="84">
        <f aca="true" t="shared" si="6" ref="J11:J25">I11*1.07</f>
        <v>7191715.115730837</v>
      </c>
    </row>
    <row r="12" spans="2:10" ht="12.75">
      <c r="B12" s="90" t="s">
        <v>47</v>
      </c>
      <c r="C12" s="84">
        <f>'2009 год план'!R16+'2009 год план'!S16</f>
        <v>306788.93999999994</v>
      </c>
      <c r="D12" s="84">
        <f t="shared" si="1"/>
        <v>7.3263957728897795</v>
      </c>
      <c r="E12" s="84">
        <f>C12*1.111</f>
        <v>340842.51233999996</v>
      </c>
      <c r="F12" s="84">
        <f t="shared" si="2"/>
        <v>8.139625703680545</v>
      </c>
      <c r="G12" s="84">
        <f t="shared" si="3"/>
        <v>374926.763574</v>
      </c>
      <c r="H12" s="84">
        <f t="shared" si="4"/>
        <v>408670.17229566</v>
      </c>
      <c r="I12" s="84">
        <f t="shared" si="5"/>
        <v>441363.78607931285</v>
      </c>
      <c r="J12" s="84">
        <f t="shared" si="6"/>
        <v>472259.25110486476</v>
      </c>
    </row>
    <row r="13" spans="2:10" ht="12.75">
      <c r="B13" s="90" t="s">
        <v>48</v>
      </c>
      <c r="C13" s="84">
        <f>'2009 год план'!R17+'2009 год план'!S17</f>
        <v>11643983.370000001</v>
      </c>
      <c r="D13" s="84">
        <f t="shared" si="1"/>
        <v>278.0687939453323</v>
      </c>
      <c r="E13" s="84">
        <f>C13*1.111</f>
        <v>12936465.52407</v>
      </c>
      <c r="F13" s="84">
        <f t="shared" si="2"/>
        <v>308.93443007326414</v>
      </c>
      <c r="G13" s="84">
        <f t="shared" si="3"/>
        <v>14230112.076477002</v>
      </c>
      <c r="H13" s="84">
        <f t="shared" si="4"/>
        <v>15510822.163359934</v>
      </c>
      <c r="I13" s="84">
        <f t="shared" si="5"/>
        <v>16751687.93642873</v>
      </c>
      <c r="J13" s="84">
        <f t="shared" si="6"/>
        <v>17924306.09197874</v>
      </c>
    </row>
    <row r="14" spans="2:10" ht="12.75">
      <c r="B14" s="90" t="s">
        <v>49</v>
      </c>
      <c r="C14" s="84">
        <f>'2009 год план'!R18+'2009 год план'!S18</f>
        <v>3039332.05134</v>
      </c>
      <c r="D14" s="84">
        <f t="shared" si="1"/>
        <v>72.58198256216734</v>
      </c>
      <c r="E14" s="84">
        <f aca="true" t="shared" si="7" ref="E14:E25">C14*1.111</f>
        <v>3376697.9090387397</v>
      </c>
      <c r="F14" s="84">
        <f t="shared" si="2"/>
        <v>80.63858262656791</v>
      </c>
      <c r="G14" s="84">
        <f t="shared" si="3"/>
        <v>3714367.699942614</v>
      </c>
      <c r="H14" s="84">
        <f t="shared" si="4"/>
        <v>4048660.7929374496</v>
      </c>
      <c r="I14" s="84">
        <f t="shared" si="5"/>
        <v>4372553.656372446</v>
      </c>
      <c r="J14" s="84">
        <f t="shared" si="6"/>
        <v>4678632.412318517</v>
      </c>
    </row>
    <row r="15" spans="2:10" ht="12.75">
      <c r="B15" s="90" t="s">
        <v>50</v>
      </c>
      <c r="C15" s="84">
        <f>'2009 год план'!R19+'2009 год план'!S19</f>
        <v>1811763</v>
      </c>
      <c r="D15" s="84">
        <f t="shared" si="1"/>
        <v>43.26652970174905</v>
      </c>
      <c r="E15" s="84">
        <f t="shared" si="7"/>
        <v>2012868.693</v>
      </c>
      <c r="F15" s="84">
        <f t="shared" si="2"/>
        <v>48.069114498643195</v>
      </c>
      <c r="G15" s="84">
        <f t="shared" si="3"/>
        <v>2214155.5623000003</v>
      </c>
      <c r="H15" s="84">
        <f t="shared" si="4"/>
        <v>2413429.5629070005</v>
      </c>
      <c r="I15" s="84">
        <f t="shared" si="5"/>
        <v>2606503.9279395607</v>
      </c>
      <c r="J15" s="84">
        <f t="shared" si="6"/>
        <v>2788959.2028953303</v>
      </c>
    </row>
    <row r="16" spans="2:10" ht="12.75">
      <c r="B16" s="90" t="s">
        <v>138</v>
      </c>
      <c r="C16" s="84">
        <f>'2009 год план'!R22+'2009 год план'!S22</f>
        <v>1730400</v>
      </c>
      <c r="D16" s="84">
        <f t="shared" si="1"/>
        <v>41.323508094550206</v>
      </c>
      <c r="E16" s="84">
        <f t="shared" si="7"/>
        <v>1922474.4</v>
      </c>
      <c r="F16" s="84"/>
      <c r="G16" s="84"/>
      <c r="H16" s="84"/>
      <c r="I16" s="84"/>
      <c r="J16" s="84"/>
    </row>
    <row r="17" spans="2:10" ht="12.75">
      <c r="B17" s="90" t="s">
        <v>59</v>
      </c>
      <c r="C17" s="84">
        <f>'2009 год план'!R28+'2009 год план'!S28</f>
        <v>1480562</v>
      </c>
      <c r="D17" s="84">
        <f t="shared" si="1"/>
        <v>35.357151983057925</v>
      </c>
      <c r="E17" s="84">
        <f t="shared" si="7"/>
        <v>1644904.382</v>
      </c>
      <c r="F17" s="84">
        <f t="shared" si="2"/>
        <v>39.28179585317736</v>
      </c>
      <c r="G17" s="84">
        <f t="shared" si="3"/>
        <v>1809394.8202000002</v>
      </c>
      <c r="H17" s="84">
        <f t="shared" si="4"/>
        <v>1972240.3540180004</v>
      </c>
      <c r="I17" s="84">
        <f t="shared" si="5"/>
        <v>2130019.5823394405</v>
      </c>
      <c r="J17" s="84">
        <f t="shared" si="6"/>
        <v>2279120.9531032015</v>
      </c>
    </row>
    <row r="18" spans="2:10" ht="12.75">
      <c r="B18" s="94" t="s">
        <v>69</v>
      </c>
      <c r="C18" s="84">
        <f>'2009 год план'!R38+'2009 год план'!S38</f>
        <v>1271200</v>
      </c>
      <c r="D18" s="84">
        <f t="shared" si="1"/>
        <v>30.35739915036536</v>
      </c>
      <c r="E18" s="84">
        <f>C18</f>
        <v>1271200</v>
      </c>
      <c r="F18" s="84">
        <f t="shared" si="2"/>
        <v>30.35739915036536</v>
      </c>
      <c r="G18" s="84">
        <f t="shared" si="3"/>
        <v>1398320</v>
      </c>
      <c r="H18" s="84">
        <f t="shared" si="4"/>
        <v>1524168.8</v>
      </c>
      <c r="I18" s="84">
        <f t="shared" si="5"/>
        <v>1646102.3040000002</v>
      </c>
      <c r="J18" s="84">
        <f t="shared" si="6"/>
        <v>1761329.4652800004</v>
      </c>
    </row>
    <row r="19" spans="2:10" ht="12.75">
      <c r="B19" s="94" t="s">
        <v>70</v>
      </c>
      <c r="C19" s="84">
        <f>'2009 год план'!R39+'2009 год план'!S39</f>
        <v>64000</v>
      </c>
      <c r="D19" s="84">
        <f t="shared" si="1"/>
        <v>1.5283775531964938</v>
      </c>
      <c r="E19" s="84">
        <f t="shared" si="7"/>
        <v>71104</v>
      </c>
      <c r="F19" s="84">
        <f t="shared" si="2"/>
        <v>1.6980274616013047</v>
      </c>
      <c r="G19" s="84">
        <f t="shared" si="3"/>
        <v>78214.40000000001</v>
      </c>
      <c r="H19" s="84">
        <f t="shared" si="4"/>
        <v>85253.69600000001</v>
      </c>
      <c r="I19" s="84">
        <f t="shared" si="5"/>
        <v>92073.99168000002</v>
      </c>
      <c r="J19" s="84">
        <f t="shared" si="6"/>
        <v>98519.17109760003</v>
      </c>
    </row>
    <row r="20" spans="2:10" ht="12.75">
      <c r="B20" s="94" t="s">
        <v>114</v>
      </c>
      <c r="C20" s="84">
        <f>'2009 год план'!R40+'2009 год план'!S40</f>
        <v>4037521.8200000003</v>
      </c>
      <c r="D20" s="84">
        <f t="shared" si="1"/>
        <v>96.41965187857899</v>
      </c>
      <c r="E20" s="84">
        <f t="shared" si="7"/>
        <v>4485686.742020001</v>
      </c>
      <c r="F20" s="84">
        <f t="shared" si="2"/>
        <v>107.12223323710127</v>
      </c>
      <c r="G20" s="84">
        <f t="shared" si="3"/>
        <v>4934255.416222001</v>
      </c>
      <c r="H20" s="84">
        <f t="shared" si="4"/>
        <v>5378338.403681982</v>
      </c>
      <c r="I20" s="84">
        <f t="shared" si="5"/>
        <v>5808605.475976542</v>
      </c>
      <c r="J20" s="84">
        <f t="shared" si="6"/>
        <v>6215207.8592949</v>
      </c>
    </row>
    <row r="21" spans="1:10" s="85" customFormat="1" ht="12.75">
      <c r="A21" s="100"/>
      <c r="B21" s="90" t="s">
        <v>91</v>
      </c>
      <c r="C21" s="84">
        <f>'2009 год план'!R60+'2009 год план'!S60</f>
        <v>63367.79000000001</v>
      </c>
      <c r="D21" s="84">
        <f t="shared" si="1"/>
        <v>1.5132798098698323</v>
      </c>
      <c r="E21" s="84">
        <f t="shared" si="7"/>
        <v>70401.61469</v>
      </c>
      <c r="F21" s="84">
        <f t="shared" si="2"/>
        <v>1.6812538687653835</v>
      </c>
      <c r="G21" s="84">
        <f t="shared" si="3"/>
        <v>77441.77615900002</v>
      </c>
      <c r="H21" s="84">
        <f t="shared" si="4"/>
        <v>84411.53601331002</v>
      </c>
      <c r="I21" s="84">
        <f t="shared" si="5"/>
        <v>91164.45889437482</v>
      </c>
      <c r="J21" s="84">
        <f t="shared" si="6"/>
        <v>97545.97101698107</v>
      </c>
    </row>
    <row r="22" spans="1:10" s="85" customFormat="1" ht="12.75">
      <c r="A22" s="100"/>
      <c r="B22" s="90" t="s">
        <v>113</v>
      </c>
      <c r="C22" s="84">
        <f>'2009 год план'!R64+'2009 год план'!S64</f>
        <v>22620.739999999998</v>
      </c>
      <c r="D22" s="84">
        <f t="shared" si="1"/>
        <v>0.5402036133233445</v>
      </c>
      <c r="E22" s="84">
        <f t="shared" si="7"/>
        <v>25131.642139999996</v>
      </c>
      <c r="F22" s="84">
        <f t="shared" si="2"/>
        <v>0.6001662144022358</v>
      </c>
      <c r="G22" s="84">
        <f t="shared" si="3"/>
        <v>27644.806353999997</v>
      </c>
      <c r="H22" s="84">
        <f t="shared" si="4"/>
        <v>30132.83892586</v>
      </c>
      <c r="I22" s="84">
        <f t="shared" si="5"/>
        <v>32543.4660399288</v>
      </c>
      <c r="J22" s="84">
        <f t="shared" si="6"/>
        <v>34821.50866272382</v>
      </c>
    </row>
    <row r="23" spans="2:10" ht="12.75">
      <c r="B23" s="94" t="s">
        <v>102</v>
      </c>
      <c r="C23" s="84">
        <f>'2009 год план'!R71+'2009 год план'!S71</f>
        <v>138100</v>
      </c>
      <c r="D23" s="84">
        <f t="shared" si="1"/>
        <v>3.2979521890068093</v>
      </c>
      <c r="E23" s="84">
        <f t="shared" si="7"/>
        <v>153429.1</v>
      </c>
      <c r="F23" s="84">
        <f t="shared" si="2"/>
        <v>3.6640248819865655</v>
      </c>
      <c r="G23" s="84">
        <f t="shared" si="3"/>
        <v>168772.01</v>
      </c>
      <c r="H23" s="84">
        <f t="shared" si="4"/>
        <v>183961.49090000003</v>
      </c>
      <c r="I23" s="84">
        <f t="shared" si="5"/>
        <v>198678.41017200006</v>
      </c>
      <c r="J23" s="84">
        <f t="shared" si="6"/>
        <v>212585.89888404007</v>
      </c>
    </row>
    <row r="24" spans="2:10" ht="12.75">
      <c r="B24" s="94" t="s">
        <v>112</v>
      </c>
      <c r="C24" s="84">
        <f>'2009 год план'!R72+'2009 год план'!S72</f>
        <v>12974859.413869595</v>
      </c>
      <c r="D24" s="84">
        <f t="shared" si="1"/>
        <v>309.85131068810165</v>
      </c>
      <c r="E24" s="84">
        <f t="shared" si="7"/>
        <v>14415068.80880912</v>
      </c>
      <c r="F24" s="84">
        <f t="shared" si="2"/>
        <v>344.24480617448097</v>
      </c>
      <c r="G24" s="84">
        <f t="shared" si="3"/>
        <v>15856575.689690033</v>
      </c>
      <c r="H24" s="84">
        <f t="shared" si="4"/>
        <v>17283667.501762137</v>
      </c>
      <c r="I24" s="84">
        <f t="shared" si="5"/>
        <v>18666360.901903108</v>
      </c>
      <c r="J24" s="84">
        <f t="shared" si="6"/>
        <v>19973006.165036328</v>
      </c>
    </row>
    <row r="25" spans="2:10" ht="12.75">
      <c r="B25" s="94" t="s">
        <v>105</v>
      </c>
      <c r="C25" s="84">
        <f>'2009 год план'!R74</f>
        <v>4875.1255</v>
      </c>
      <c r="D25" s="84">
        <f t="shared" si="1"/>
        <v>0.1164223809877474</v>
      </c>
      <c r="E25" s="84">
        <f t="shared" si="7"/>
        <v>5416.2644305</v>
      </c>
      <c r="F25" s="84">
        <f t="shared" si="2"/>
        <v>0.12934526527738738</v>
      </c>
      <c r="G25" s="84">
        <f t="shared" si="3"/>
        <v>5957.890873550001</v>
      </c>
      <c r="H25" s="84">
        <f t="shared" si="4"/>
        <v>6494.101052169502</v>
      </c>
      <c r="I25" s="84">
        <f t="shared" si="5"/>
        <v>7013.629136343062</v>
      </c>
      <c r="J25" s="84">
        <f t="shared" si="6"/>
        <v>7504.583175887076</v>
      </c>
    </row>
    <row r="26" spans="2:10" ht="12.75">
      <c r="B26" s="93" t="s">
        <v>104</v>
      </c>
      <c r="C26" s="82">
        <f aca="true" t="shared" si="8" ref="C26:J26">SUM(C10:C20,C24:C25)</f>
        <v>69719276.04099624</v>
      </c>
      <c r="D26" s="82">
        <f t="shared" si="8"/>
        <v>1664.9590082213874</v>
      </c>
      <c r="E26" s="82">
        <f t="shared" si="8"/>
        <v>79378805.45861769</v>
      </c>
      <c r="F26" s="82">
        <f t="shared" si="8"/>
        <v>1849.7268397335577</v>
      </c>
      <c r="G26" s="82">
        <f t="shared" si="8"/>
        <v>85804352.80247758</v>
      </c>
      <c r="H26" s="82">
        <f t="shared" si="8"/>
        <v>101480878.91989258</v>
      </c>
      <c r="I26" s="82">
        <f t="shared" si="8"/>
        <v>115718725.58514915</v>
      </c>
      <c r="J26" s="82">
        <f t="shared" si="8"/>
        <v>131820586.05853249</v>
      </c>
    </row>
    <row r="27" spans="2:10" ht="13.5">
      <c r="B27" s="93" t="s">
        <v>121</v>
      </c>
      <c r="C27" s="104">
        <f>C26/C5</f>
        <v>1664.959008221387</v>
      </c>
      <c r="D27" s="82"/>
      <c r="E27" s="104">
        <f>E26/E5</f>
        <v>1895.637257226603</v>
      </c>
      <c r="F27" s="104"/>
      <c r="G27" s="104">
        <f>G26/G5</f>
        <v>2049.0851060915534</v>
      </c>
      <c r="H27" s="104">
        <f>H26/H5</f>
        <v>2423.4546471846106</v>
      </c>
      <c r="I27" s="104">
        <f>I26/I5</f>
        <v>2763.467229200731</v>
      </c>
      <c r="J27" s="104">
        <f>J26/J5</f>
        <v>3147.9941372041835</v>
      </c>
    </row>
    <row r="28" spans="1:10" s="95" customFormat="1" ht="13.5">
      <c r="A28" s="101"/>
      <c r="B28" s="105" t="s">
        <v>118</v>
      </c>
      <c r="C28" s="104">
        <f>C26/C5</f>
        <v>1664.959008221387</v>
      </c>
      <c r="D28" s="106">
        <v>1664.96</v>
      </c>
      <c r="E28" s="106">
        <v>1664.96</v>
      </c>
      <c r="F28" s="106"/>
      <c r="G28" s="106">
        <f>E28*G32</f>
        <v>1881.4047999999998</v>
      </c>
      <c r="H28" s="106">
        <f>G28*H32</f>
        <v>2125.9874239999995</v>
      </c>
      <c r="I28" s="106">
        <f>H28*I32</f>
        <v>2402.365789119999</v>
      </c>
      <c r="J28" s="106">
        <f>I28*J32</f>
        <v>2714.673341705599</v>
      </c>
    </row>
    <row r="29" spans="1:10" s="85" customFormat="1" ht="12.75">
      <c r="A29" s="100"/>
      <c r="B29" s="93" t="s">
        <v>119</v>
      </c>
      <c r="C29" s="107"/>
      <c r="D29" s="87"/>
      <c r="E29" s="87">
        <f>E5*E28</f>
        <v>69719317.57120001</v>
      </c>
      <c r="F29" s="87"/>
      <c r="G29" s="87">
        <f>G28*G5</f>
        <v>78782828.85545601</v>
      </c>
      <c r="H29" s="87">
        <f>H28*H5</f>
        <v>89024596.60666527</v>
      </c>
      <c r="I29" s="87">
        <f>I28*I5</f>
        <v>100597794.16553175</v>
      </c>
      <c r="J29" s="87">
        <f>J28*J5</f>
        <v>113675507.40705088</v>
      </c>
    </row>
    <row r="30" spans="1:10" s="86" customFormat="1" ht="12.75">
      <c r="A30" s="102"/>
      <c r="B30" s="108" t="s">
        <v>105</v>
      </c>
      <c r="C30" s="109"/>
      <c r="D30" s="109"/>
      <c r="E30" s="109">
        <f>E29-E26</f>
        <v>-9659487.887417674</v>
      </c>
      <c r="F30" s="109"/>
      <c r="G30" s="109">
        <f>G29-G26</f>
        <v>-7021523.947021574</v>
      </c>
      <c r="H30" s="109">
        <f>H29-H26</f>
        <v>-12456282.31322731</v>
      </c>
      <c r="I30" s="109">
        <f>I29-I26</f>
        <v>-15120931.4196174</v>
      </c>
      <c r="J30" s="109">
        <f>J29-J26</f>
        <v>-18145078.651481614</v>
      </c>
    </row>
    <row r="31" spans="1:10" s="86" customFormat="1" ht="12.75">
      <c r="A31" s="102"/>
      <c r="B31" s="108" t="s">
        <v>159</v>
      </c>
      <c r="C31" s="109"/>
      <c r="D31" s="109"/>
      <c r="E31" s="109"/>
      <c r="F31" s="109"/>
      <c r="G31" s="109"/>
      <c r="H31" s="109"/>
      <c r="I31" s="109"/>
      <c r="J31" s="109"/>
    </row>
    <row r="32" spans="2:10" ht="12.75">
      <c r="B32" s="90" t="s">
        <v>122</v>
      </c>
      <c r="C32" s="81"/>
      <c r="D32" s="81"/>
      <c r="E32" s="112">
        <f>E28/C28</f>
        <v>1.000000595677496</v>
      </c>
      <c r="F32" s="81"/>
      <c r="G32" s="112">
        <v>1.13</v>
      </c>
      <c r="H32" s="112">
        <v>1.13</v>
      </c>
      <c r="I32" s="112">
        <v>1.13</v>
      </c>
      <c r="J32" s="112">
        <v>1.13</v>
      </c>
    </row>
    <row r="33" spans="1:10" s="85" customFormat="1" ht="12.75">
      <c r="A33" s="100"/>
      <c r="B33" s="93" t="s">
        <v>123</v>
      </c>
      <c r="C33" s="87"/>
      <c r="D33" s="87"/>
      <c r="E33" s="87">
        <f>'[1]68 млн '!$I$15</f>
        <v>25947430.158356164</v>
      </c>
      <c r="F33" s="87"/>
      <c r="G33" s="87">
        <f>'[1]68 млн '!$I$27</f>
        <v>23227430.958356164</v>
      </c>
      <c r="H33" s="87">
        <f>'[1]68 млн '!$I$39</f>
        <v>20507431.75835616</v>
      </c>
      <c r="I33" s="87">
        <f>'[1]68 млн '!$I$51</f>
        <v>17787432.558356166</v>
      </c>
      <c r="J33" s="87">
        <f>'[1]68 млн '!$I$63</f>
        <v>15067453.358356167</v>
      </c>
    </row>
    <row r="34" spans="2:10" ht="12.75">
      <c r="B34" s="90" t="s">
        <v>124</v>
      </c>
      <c r="C34" s="81"/>
      <c r="D34" s="81"/>
      <c r="E34" s="81">
        <v>13599996</v>
      </c>
      <c r="F34" s="81"/>
      <c r="G34" s="81">
        <v>13599996</v>
      </c>
      <c r="H34" s="81">
        <v>13599996</v>
      </c>
      <c r="I34" s="81">
        <v>13599996</v>
      </c>
      <c r="J34" s="81">
        <f>13599996+20</f>
        <v>13600016</v>
      </c>
    </row>
    <row r="35" spans="2:10" ht="12.75">
      <c r="B35" s="90" t="s">
        <v>125</v>
      </c>
      <c r="C35" s="81"/>
      <c r="D35" s="81"/>
      <c r="E35" s="81">
        <f>E33-E34</f>
        <v>12347434.158356164</v>
      </c>
      <c r="F35" s="81"/>
      <c r="G35" s="81">
        <f>G33-G34</f>
        <v>9627434.958356164</v>
      </c>
      <c r="H35" s="81">
        <f>H33-H34</f>
        <v>6907435.758356161</v>
      </c>
      <c r="I35" s="81">
        <f>I33-I34</f>
        <v>4187436.558356166</v>
      </c>
      <c r="J35" s="81">
        <f>J33-J34</f>
        <v>1467437.3583561666</v>
      </c>
    </row>
    <row r="36" spans="2:10" ht="12.75">
      <c r="B36" s="90"/>
      <c r="C36" s="81"/>
      <c r="D36" s="81"/>
      <c r="E36" s="81"/>
      <c r="F36" s="81"/>
      <c r="G36" s="81"/>
      <c r="H36" s="81"/>
      <c r="I36" s="81"/>
      <c r="J36" s="81"/>
    </row>
    <row r="37" spans="1:10" s="85" customFormat="1" ht="12.75">
      <c r="A37" s="100"/>
      <c r="B37" s="93" t="s">
        <v>126</v>
      </c>
      <c r="C37" s="87"/>
      <c r="D37" s="87"/>
      <c r="E37" s="87">
        <f>E33/E5</f>
        <v>619.6479658932079</v>
      </c>
      <c r="F37" s="87"/>
      <c r="G37" s="87">
        <f>G33/G5</f>
        <v>554.6919389870764</v>
      </c>
      <c r="H37" s="87">
        <f>H33/H5</f>
        <v>489.73591208094473</v>
      </c>
      <c r="I37" s="87">
        <f>I33/I5</f>
        <v>424.7798851748133</v>
      </c>
      <c r="J37" s="87">
        <f>J33/J5</f>
        <v>359.8243358866671</v>
      </c>
    </row>
    <row r="38" spans="1:10" s="85" customFormat="1" ht="12.75">
      <c r="A38" s="100"/>
      <c r="B38" s="93" t="s">
        <v>127</v>
      </c>
      <c r="C38" s="87"/>
      <c r="D38" s="87"/>
      <c r="E38" s="87">
        <f>E34/E5</f>
        <v>324.78013453065785</v>
      </c>
      <c r="F38" s="87"/>
      <c r="G38" s="87">
        <f>G34/G5</f>
        <v>324.78013453065785</v>
      </c>
      <c r="H38" s="87">
        <f>H34/H5</f>
        <v>324.78013453065785</v>
      </c>
      <c r="I38" s="87">
        <f>I34/I5</f>
        <v>324.78013453065785</v>
      </c>
      <c r="J38" s="87">
        <f>J34/J5</f>
        <v>324.78061214864323</v>
      </c>
    </row>
    <row r="39" spans="2:10" ht="12.75">
      <c r="B39" s="90"/>
      <c r="C39" s="81"/>
      <c r="D39" s="81"/>
      <c r="E39" s="81"/>
      <c r="F39" s="81"/>
      <c r="G39" s="81"/>
      <c r="H39" s="81"/>
      <c r="I39" s="81"/>
      <c r="J39" s="81"/>
    </row>
    <row r="40" spans="2:10" ht="25.5">
      <c r="B40" s="110" t="s">
        <v>128</v>
      </c>
      <c r="C40" s="81"/>
      <c r="D40" s="81"/>
      <c r="E40" s="81">
        <f>E28+E37</f>
        <v>2284.607965893208</v>
      </c>
      <c r="F40" s="81"/>
      <c r="G40" s="81">
        <f>G28+G37</f>
        <v>2436.096738987076</v>
      </c>
      <c r="H40" s="81">
        <f>H28+H37</f>
        <v>2615.723336080944</v>
      </c>
      <c r="I40" s="81">
        <f>I28+I37</f>
        <v>2827.1456742948126</v>
      </c>
      <c r="J40" s="81">
        <f>J28+J37</f>
        <v>3074.497677592266</v>
      </c>
    </row>
    <row r="41" spans="1:10" s="97" customFormat="1" ht="12.75">
      <c r="A41" s="103"/>
      <c r="B41" s="111" t="s">
        <v>129</v>
      </c>
      <c r="C41" s="112"/>
      <c r="D41" s="112"/>
      <c r="E41" s="113">
        <f>E40/C28</f>
        <v>1.3721706988652944</v>
      </c>
      <c r="F41" s="113"/>
      <c r="G41" s="113">
        <f>G40/E40</f>
        <v>1.0663084324993328</v>
      </c>
      <c r="H41" s="113">
        <f>H40/G40</f>
        <v>1.0737354121530314</v>
      </c>
      <c r="I41" s="113">
        <f>I40/H40</f>
        <v>1.080827484809856</v>
      </c>
      <c r="J41" s="113">
        <f>J40/I40</f>
        <v>1.0874917785618357</v>
      </c>
    </row>
    <row r="42" spans="2:10" ht="12.75">
      <c r="B42" s="90" t="s">
        <v>130</v>
      </c>
      <c r="C42" s="81"/>
      <c r="D42" s="81"/>
      <c r="E42" s="114">
        <v>5</v>
      </c>
      <c r="F42" s="81"/>
      <c r="G42" s="81"/>
      <c r="H42" s="81"/>
      <c r="I42" s="81"/>
      <c r="J42" s="81"/>
    </row>
    <row r="44" spans="5:10" ht="12.75">
      <c r="E44" s="89">
        <f>E27*E5</f>
        <v>79378805.45861769</v>
      </c>
      <c r="G44" s="89">
        <f>G27*G5</f>
        <v>85804352.80247758</v>
      </c>
      <c r="H44" s="89">
        <f>H27*H5</f>
        <v>101480878.91989258</v>
      </c>
      <c r="I44" s="89">
        <f>I27*I5</f>
        <v>115718725.58514915</v>
      </c>
      <c r="J44" s="89">
        <f>J27*J5</f>
        <v>131820586.05853249</v>
      </c>
    </row>
    <row r="45" spans="5:10" ht="12.75">
      <c r="E45" s="89" t="e">
        <f>#REF!*#REF!</f>
        <v>#REF!</v>
      </c>
      <c r="G45" s="89" t="e">
        <f>#REF!*#REF!</f>
        <v>#REF!</v>
      </c>
      <c r="H45" s="89" t="e">
        <f>#REF!*#REF!</f>
        <v>#REF!</v>
      </c>
      <c r="I45" s="89" t="e">
        <f>#REF!*#REF!</f>
        <v>#REF!</v>
      </c>
      <c r="J45" s="89" t="e">
        <f>#REF!*#REF!</f>
        <v>#REF!</v>
      </c>
    </row>
    <row r="46" spans="5:10" ht="12.75">
      <c r="E46" s="89" t="e">
        <f aca="true" t="shared" si="9" ref="E46:J46">E44-E45</f>
        <v>#REF!</v>
      </c>
      <c r="F46" s="89">
        <f t="shared" si="9"/>
        <v>0</v>
      </c>
      <c r="G46" s="89" t="e">
        <f t="shared" si="9"/>
        <v>#REF!</v>
      </c>
      <c r="H46" s="89" t="e">
        <f t="shared" si="9"/>
        <v>#REF!</v>
      </c>
      <c r="I46" s="89" t="e">
        <f t="shared" si="9"/>
        <v>#REF!</v>
      </c>
      <c r="J46" s="89" t="e">
        <f t="shared" si="9"/>
        <v>#REF!</v>
      </c>
    </row>
  </sheetData>
  <mergeCells count="10">
    <mergeCell ref="B2:B4"/>
    <mergeCell ref="C2:D2"/>
    <mergeCell ref="D3:D4"/>
    <mergeCell ref="E3:E4"/>
    <mergeCell ref="J3:J4"/>
    <mergeCell ref="E2:J2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75" zoomScaleSheetLayoutView="75" workbookViewId="0" topLeftCell="A25">
      <selection activeCell="M13" sqref="M13"/>
    </sheetView>
  </sheetViews>
  <sheetFormatPr defaultColWidth="9.125" defaultRowHeight="12.75"/>
  <cols>
    <col min="1" max="1" width="6.25390625" style="98" bestFit="1" customWidth="1"/>
    <col min="2" max="2" width="33.125" style="96" customWidth="1"/>
    <col min="3" max="3" width="12.25390625" style="89" hidden="1" customWidth="1"/>
    <col min="4" max="4" width="0.2421875" style="89" hidden="1" customWidth="1"/>
    <col min="5" max="5" width="13.75390625" style="89" bestFit="1" customWidth="1"/>
    <col min="6" max="6" width="8.375" style="89" hidden="1" customWidth="1"/>
    <col min="7" max="7" width="13.375" style="89" bestFit="1" customWidth="1"/>
    <col min="8" max="8" width="14.875" style="89" bestFit="1" customWidth="1"/>
    <col min="9" max="10" width="13.875" style="89" bestFit="1" customWidth="1"/>
    <col min="11" max="11" width="12.75390625" style="89" bestFit="1" customWidth="1"/>
    <col min="12" max="16384" width="9.125" style="89" customWidth="1"/>
  </cols>
  <sheetData>
    <row r="1" ht="15.75">
      <c r="J1" s="125" t="s">
        <v>156</v>
      </c>
    </row>
    <row r="3" spans="1:10" ht="34.5" customHeight="1">
      <c r="A3" s="133" t="s">
        <v>160</v>
      </c>
      <c r="B3" s="133"/>
      <c r="C3" s="133"/>
      <c r="D3" s="133"/>
      <c r="E3" s="133"/>
      <c r="F3" s="133"/>
      <c r="G3" s="133"/>
      <c r="H3" s="133"/>
      <c r="I3" s="133"/>
      <c r="J3" s="133"/>
    </row>
    <row r="6" spans="1:10" ht="12.75">
      <c r="A6" s="129" t="s">
        <v>131</v>
      </c>
      <c r="B6" s="129" t="s">
        <v>115</v>
      </c>
      <c r="C6" s="136" t="s">
        <v>137</v>
      </c>
      <c r="D6" s="137"/>
      <c r="E6" s="137"/>
      <c r="F6" s="137"/>
      <c r="G6" s="137"/>
      <c r="H6" s="137"/>
      <c r="I6" s="137"/>
      <c r="J6" s="138"/>
    </row>
    <row r="7" spans="1:10" s="115" customFormat="1" ht="24" customHeight="1">
      <c r="A7" s="134"/>
      <c r="B7" s="134"/>
      <c r="C7" s="139" t="s">
        <v>133</v>
      </c>
      <c r="D7" s="132" t="s">
        <v>117</v>
      </c>
      <c r="E7" s="132" t="s">
        <v>5</v>
      </c>
      <c r="F7" s="132" t="s">
        <v>117</v>
      </c>
      <c r="G7" s="132" t="s">
        <v>6</v>
      </c>
      <c r="H7" s="132" t="s">
        <v>7</v>
      </c>
      <c r="I7" s="132" t="s">
        <v>8</v>
      </c>
      <c r="J7" s="132" t="s">
        <v>9</v>
      </c>
    </row>
    <row r="8" spans="1:10" s="115" customFormat="1" ht="24" customHeight="1">
      <c r="A8" s="135"/>
      <c r="B8" s="135"/>
      <c r="C8" s="140"/>
      <c r="D8" s="132"/>
      <c r="E8" s="132"/>
      <c r="F8" s="132"/>
      <c r="G8" s="132"/>
      <c r="H8" s="132"/>
      <c r="I8" s="132"/>
      <c r="J8" s="132"/>
    </row>
    <row r="9" spans="1:10" s="85" customFormat="1" ht="12.75">
      <c r="A9" s="117">
        <v>1</v>
      </c>
      <c r="B9" s="93" t="s">
        <v>36</v>
      </c>
      <c r="C9" s="82">
        <f>'2009 год план'!R4+'2009 год план'!S4</f>
        <v>41874.47000000001</v>
      </c>
      <c r="D9" s="87"/>
      <c r="E9" s="82">
        <f>C9</f>
        <v>41874.47000000001</v>
      </c>
      <c r="F9" s="87"/>
      <c r="G9" s="87">
        <f>'[2]ср.тариф'!AG4</f>
        <v>37381.1</v>
      </c>
      <c r="H9" s="87">
        <v>41874.47</v>
      </c>
      <c r="I9" s="87">
        <v>41874.47</v>
      </c>
      <c r="J9" s="87">
        <v>41874.47</v>
      </c>
    </row>
    <row r="10" spans="1:10" ht="12.75">
      <c r="A10" s="116"/>
      <c r="B10" s="90" t="s">
        <v>37</v>
      </c>
      <c r="C10" s="83">
        <f>'2009 год план'!R5+'2009 год план'!S5</f>
        <v>1238.59</v>
      </c>
      <c r="D10" s="81"/>
      <c r="E10" s="83">
        <f>C10</f>
        <v>1238.59</v>
      </c>
      <c r="F10" s="81"/>
      <c r="G10" s="81">
        <f>'[2]ср.тариф'!AG5</f>
        <v>1225.9999999999998</v>
      </c>
      <c r="H10" s="81">
        <v>1238.59</v>
      </c>
      <c r="I10" s="81">
        <v>1238.59</v>
      </c>
      <c r="J10" s="81">
        <v>1238.59</v>
      </c>
    </row>
    <row r="11" spans="1:10" ht="12.75">
      <c r="A11" s="116"/>
      <c r="B11" s="90" t="s">
        <v>38</v>
      </c>
      <c r="C11" s="83">
        <f>'2009 год план'!R6+'2009 год план'!S6</f>
        <v>9732.72</v>
      </c>
      <c r="D11" s="81"/>
      <c r="E11" s="83">
        <f>C11</f>
        <v>9732.72</v>
      </c>
      <c r="F11" s="81"/>
      <c r="G11" s="81">
        <f>'[2]ср.тариф'!AG6</f>
        <v>10702.19</v>
      </c>
      <c r="H11" s="81">
        <v>9732.72</v>
      </c>
      <c r="I11" s="81">
        <v>9732.72</v>
      </c>
      <c r="J11" s="81">
        <v>9732.72</v>
      </c>
    </row>
    <row r="12" spans="1:10" s="85" customFormat="1" ht="12.75">
      <c r="A12" s="117"/>
      <c r="B12" s="93" t="s">
        <v>39</v>
      </c>
      <c r="C12" s="82">
        <f>'2009 год план'!R7+'2009 год план'!S7</f>
        <v>52845.78</v>
      </c>
      <c r="D12" s="87"/>
      <c r="E12" s="82">
        <f>C12</f>
        <v>52845.78</v>
      </c>
      <c r="F12" s="87"/>
      <c r="G12" s="87">
        <f>'[2]ср.тариф'!AG7</f>
        <v>49309.29</v>
      </c>
      <c r="H12" s="87">
        <v>52845.78</v>
      </c>
      <c r="I12" s="87">
        <v>52845.78</v>
      </c>
      <c r="J12" s="87">
        <v>52845.78</v>
      </c>
    </row>
    <row r="13" spans="1:10" ht="38.25">
      <c r="A13" s="117">
        <v>2</v>
      </c>
      <c r="B13" s="93" t="s">
        <v>116</v>
      </c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123" t="s">
        <v>139</v>
      </c>
      <c r="B14" s="90" t="s">
        <v>41</v>
      </c>
      <c r="C14" s="84">
        <f>'2009 год план'!R14+'2009 год план'!S14</f>
        <v>26682110.09353568</v>
      </c>
      <c r="D14" s="84">
        <f>C14/$C$9</f>
        <v>637.1927834199615</v>
      </c>
      <c r="E14" s="84">
        <f>газ!B9</f>
        <v>27040473.568423</v>
      </c>
      <c r="F14" s="84">
        <f>E14/$E$9</f>
        <v>645.7508254653252</v>
      </c>
      <c r="G14" s="84">
        <f>'[2]ср.тариф'!$AG$14*112.49/100</f>
        <v>24261039.495815378</v>
      </c>
      <c r="H14" s="84">
        <v>38426811.7818406</v>
      </c>
      <c r="I14" s="84">
        <v>45564885.80409981</v>
      </c>
      <c r="J14" s="84">
        <v>54075979.00866411</v>
      </c>
    </row>
    <row r="15" spans="1:10" s="85" customFormat="1" ht="12.75">
      <c r="A15" s="123" t="s">
        <v>140</v>
      </c>
      <c r="B15" s="90" t="s">
        <v>46</v>
      </c>
      <c r="C15" s="84">
        <f>'2009 год план'!R15+'2009 год план'!S15</f>
        <v>4671880.226750974</v>
      </c>
      <c r="D15" s="84">
        <f aca="true" t="shared" si="0" ref="D15:D29">C15/$C$9</f>
        <v>111.56870109044897</v>
      </c>
      <c r="E15" s="84">
        <f>1916065.32+1937451.77+721996.05</f>
        <v>4575513.14</v>
      </c>
      <c r="F15" s="84">
        <f aca="true" t="shared" si="1" ref="F15:F29">E15/$E$9</f>
        <v>109.26736839893135</v>
      </c>
      <c r="G15" s="84">
        <f>'[2]ср.тариф'!$AG$15*140.07/100</f>
        <v>6581862.000951108</v>
      </c>
      <c r="H15" s="84">
        <v>5486040.254860001</v>
      </c>
      <c r="I15" s="84">
        <v>5924923.4752488015</v>
      </c>
      <c r="J15" s="84">
        <v>6339668.118516218</v>
      </c>
    </row>
    <row r="16" spans="1:10" ht="25.5">
      <c r="A16" s="123" t="s">
        <v>141</v>
      </c>
      <c r="B16" s="90" t="s">
        <v>47</v>
      </c>
      <c r="C16" s="84">
        <f>'2009 год план'!R16+'2009 год план'!S16</f>
        <v>306788.93999999994</v>
      </c>
      <c r="D16" s="84">
        <f t="shared" si="0"/>
        <v>7.3263957728897795</v>
      </c>
      <c r="E16" s="84">
        <f>C16*1.111</f>
        <v>340842.51233999996</v>
      </c>
      <c r="F16" s="84">
        <f t="shared" si="1"/>
        <v>8.139625703680545</v>
      </c>
      <c r="G16" s="84">
        <f>'[2]ср.тариф'!$AG$17*111.06/100</f>
        <v>663030.4745088001</v>
      </c>
      <c r="H16" s="84">
        <v>408670.17229566</v>
      </c>
      <c r="I16" s="84">
        <v>441363.78607931285</v>
      </c>
      <c r="J16" s="84">
        <v>472259.25110486476</v>
      </c>
    </row>
    <row r="17" spans="1:10" ht="12.75">
      <c r="A17" s="123" t="s">
        <v>142</v>
      </c>
      <c r="B17" s="90" t="s">
        <v>48</v>
      </c>
      <c r="C17" s="84">
        <f>'2009 год план'!R17+'2009 год план'!S17</f>
        <v>11643983.370000001</v>
      </c>
      <c r="D17" s="84">
        <f t="shared" si="0"/>
        <v>278.0687939453323</v>
      </c>
      <c r="E17" s="84">
        <f>1035903.06*1.11+799200+('2009 год план'!H17+'2009 год план'!I17+'2009 год план'!J17+'2009 год план'!K17+'2009 год план'!L17+'2009 год план'!M17+'2009 год план'!N17)*1.11+720000+501881.38*1.11</f>
        <v>10017571.854600001</v>
      </c>
      <c r="F17" s="84">
        <f t="shared" si="1"/>
        <v>239.22862437661897</v>
      </c>
      <c r="G17" s="84">
        <f>('[2]ср.тариф'!$AG$18+'[2]ср.тариф'!$AG$20+'[2]ср.тариф'!$AG$24)*108.7/100</f>
        <v>17052190.488474876</v>
      </c>
      <c r="H17" s="84">
        <v>12011068.653665403</v>
      </c>
      <c r="I17" s="84">
        <v>12971954.145958636</v>
      </c>
      <c r="J17" s="84">
        <v>13879990.936175741</v>
      </c>
    </row>
    <row r="18" spans="1:10" ht="12.75">
      <c r="A18" s="123" t="s">
        <v>143</v>
      </c>
      <c r="B18" s="90" t="s">
        <v>49</v>
      </c>
      <c r="C18" s="84">
        <f>'2009 год план'!R18+'2009 год план'!S18</f>
        <v>3039332.05134</v>
      </c>
      <c r="D18" s="84">
        <f t="shared" si="0"/>
        <v>72.58198256216734</v>
      </c>
      <c r="E18" s="84">
        <f>E17*0.262</f>
        <v>2624603.8259052006</v>
      </c>
      <c r="F18" s="84">
        <f t="shared" si="1"/>
        <v>62.67789958667417</v>
      </c>
      <c r="G18" s="84">
        <f>('[2]ср.тариф'!$AG$19+'[2]ср.тариф'!$AG$21+'[2]ср.тариф'!$AG$25)*108.7/100</f>
        <v>4467673.907980417</v>
      </c>
      <c r="H18" s="84">
        <v>3146899.987260336</v>
      </c>
      <c r="I18" s="84">
        <v>3398651.986241163</v>
      </c>
      <c r="J18" s="84">
        <v>3636557.625278045</v>
      </c>
    </row>
    <row r="19" spans="1:10" ht="12.75">
      <c r="A19" s="123" t="s">
        <v>144</v>
      </c>
      <c r="B19" s="90" t="s">
        <v>50</v>
      </c>
      <c r="C19" s="84">
        <f>'2009 год план'!R19+'2009 год план'!S19</f>
        <v>1811763</v>
      </c>
      <c r="D19" s="84">
        <f t="shared" si="0"/>
        <v>43.26652970174905</v>
      </c>
      <c r="E19" s="84">
        <f>C19*1.111</f>
        <v>2012868.693</v>
      </c>
      <c r="F19" s="84">
        <f t="shared" si="1"/>
        <v>48.069114498643195</v>
      </c>
      <c r="G19" s="84">
        <f>'[2]ср.тариф'!$AG$26*108.7/100</f>
        <v>2566127.14098</v>
      </c>
      <c r="H19" s="84">
        <v>2413429.5629070005</v>
      </c>
      <c r="I19" s="84">
        <v>2606503.9279395607</v>
      </c>
      <c r="J19" s="84">
        <v>2788959.2028953303</v>
      </c>
    </row>
    <row r="20" spans="1:10" ht="25.5">
      <c r="A20" s="123" t="s">
        <v>145</v>
      </c>
      <c r="B20" s="90" t="s">
        <v>134</v>
      </c>
      <c r="C20" s="84">
        <f>'2009 год план'!R22+'2009 год план'!S22</f>
        <v>1730400</v>
      </c>
      <c r="D20" s="84">
        <f t="shared" si="0"/>
        <v>41.323508094550206</v>
      </c>
      <c r="E20" s="84">
        <v>0</v>
      </c>
      <c r="F20" s="84"/>
      <c r="G20" s="84"/>
      <c r="H20" s="84"/>
      <c r="I20" s="84"/>
      <c r="J20" s="84"/>
    </row>
    <row r="21" spans="1:10" ht="12.75">
      <c r="A21" s="123" t="s">
        <v>146</v>
      </c>
      <c r="B21" s="90" t="s">
        <v>59</v>
      </c>
      <c r="C21" s="84">
        <f>'2009 год план'!R28+'2009 год план'!S28</f>
        <v>1480562</v>
      </c>
      <c r="D21" s="84">
        <f t="shared" si="0"/>
        <v>35.357151983057925</v>
      </c>
      <c r="E21" s="84">
        <f>C21*60%</f>
        <v>888337.2</v>
      </c>
      <c r="F21" s="84">
        <f t="shared" si="1"/>
        <v>21.214291189834757</v>
      </c>
      <c r="G21" s="84">
        <f>'[2]ср.тариф'!$AG$35*108.7/100</f>
        <v>2991288.759741178</v>
      </c>
      <c r="H21" s="84">
        <v>1065116.3028000002</v>
      </c>
      <c r="I21" s="84">
        <v>1150325.6070240003</v>
      </c>
      <c r="J21" s="84">
        <v>1230848.3995156803</v>
      </c>
    </row>
    <row r="22" spans="1:10" ht="12.75">
      <c r="A22" s="123" t="s">
        <v>147</v>
      </c>
      <c r="B22" s="94" t="s">
        <v>135</v>
      </c>
      <c r="C22" s="84">
        <f>'2009 год план'!R38+'2009 год план'!S38</f>
        <v>1271200</v>
      </c>
      <c r="D22" s="84">
        <f t="shared" si="0"/>
        <v>30.35739915036536</v>
      </c>
      <c r="E22" s="84">
        <f>C22-427200</f>
        <v>844000</v>
      </c>
      <c r="F22" s="84">
        <f t="shared" si="1"/>
        <v>20.155478982778764</v>
      </c>
      <c r="G22" s="84">
        <f>'[2]ср.тариф'!$AG$47</f>
        <v>1658766.8079019717</v>
      </c>
      <c r="H22" s="84">
        <v>1011956</v>
      </c>
      <c r="I22" s="84">
        <v>1092912.48</v>
      </c>
      <c r="J22" s="84">
        <v>1169416.3536000003</v>
      </c>
    </row>
    <row r="23" spans="1:10" ht="12.75">
      <c r="A23" s="123" t="s">
        <v>148</v>
      </c>
      <c r="B23" s="94" t="s">
        <v>70</v>
      </c>
      <c r="C23" s="84">
        <f>'2009 год план'!R39+'2009 год план'!S39</f>
        <v>64000</v>
      </c>
      <c r="D23" s="84">
        <f t="shared" si="0"/>
        <v>1.5283775531964938</v>
      </c>
      <c r="E23" s="84">
        <v>0</v>
      </c>
      <c r="F23" s="84">
        <f t="shared" si="1"/>
        <v>0</v>
      </c>
      <c r="G23" s="84">
        <f>E23*1.1</f>
        <v>0</v>
      </c>
      <c r="H23" s="84">
        <v>0</v>
      </c>
      <c r="I23" s="84">
        <v>0</v>
      </c>
      <c r="J23" s="84">
        <v>0</v>
      </c>
    </row>
    <row r="24" spans="1:10" ht="12.75">
      <c r="A24" s="123" t="s">
        <v>149</v>
      </c>
      <c r="B24" s="94" t="s">
        <v>114</v>
      </c>
      <c r="C24" s="84">
        <f>'2009 год план'!R40+'2009 год план'!S40</f>
        <v>4037521.8200000003</v>
      </c>
      <c r="D24" s="84">
        <f t="shared" si="0"/>
        <v>96.41965187857899</v>
      </c>
      <c r="E24" s="84">
        <f>C24*1.111</f>
        <v>4485686.742020001</v>
      </c>
      <c r="F24" s="84">
        <f t="shared" si="1"/>
        <v>107.12223323710127</v>
      </c>
      <c r="G24" s="84">
        <v>1791260</v>
      </c>
      <c r="H24" s="84">
        <v>5378338.403681982</v>
      </c>
      <c r="I24" s="84">
        <v>5808605.475976542</v>
      </c>
      <c r="J24" s="84">
        <v>6215207.8592949</v>
      </c>
    </row>
    <row r="25" spans="1:10" s="85" customFormat="1" ht="25.5">
      <c r="A25" s="123" t="s">
        <v>150</v>
      </c>
      <c r="B25" s="90" t="s">
        <v>91</v>
      </c>
      <c r="C25" s="84">
        <f>'2009 год план'!R60+'2009 год план'!S60</f>
        <v>63367.79000000001</v>
      </c>
      <c r="D25" s="84">
        <f t="shared" si="0"/>
        <v>1.5132798098698323</v>
      </c>
      <c r="E25" s="84">
        <f>C25*1.111</f>
        <v>70401.61469</v>
      </c>
      <c r="F25" s="84">
        <f t="shared" si="1"/>
        <v>1.6812538687653835</v>
      </c>
      <c r="G25" s="84">
        <f>'[2]ср.тариф'!$AG$70</f>
        <v>126649.435</v>
      </c>
      <c r="H25" s="84">
        <v>84411.53601331002</v>
      </c>
      <c r="I25" s="84">
        <v>91164.45889437482</v>
      </c>
      <c r="J25" s="84">
        <v>97545.97101698107</v>
      </c>
    </row>
    <row r="26" spans="1:10" s="85" customFormat="1" ht="12.75">
      <c r="A26" s="123" t="s">
        <v>151</v>
      </c>
      <c r="B26" s="90" t="s">
        <v>113</v>
      </c>
      <c r="C26" s="84">
        <f>'2009 год план'!R64+'2009 год план'!S64</f>
        <v>22620.739999999998</v>
      </c>
      <c r="D26" s="84">
        <f t="shared" si="0"/>
        <v>0.5402036133233445</v>
      </c>
      <c r="E26" s="84">
        <f>C26*1.111</f>
        <v>25131.642139999996</v>
      </c>
      <c r="F26" s="84">
        <f t="shared" si="1"/>
        <v>0.6001662144022358</v>
      </c>
      <c r="G26" s="84">
        <f>'[2]ср.тариф'!$AU$74</f>
        <v>324959.0457364829</v>
      </c>
      <c r="H26" s="84">
        <v>30132.83892586</v>
      </c>
      <c r="I26" s="84">
        <v>32543.4660399288</v>
      </c>
      <c r="J26" s="84">
        <v>34821.50866272382</v>
      </c>
    </row>
    <row r="27" spans="1:10" ht="12.75">
      <c r="A27" s="123" t="s">
        <v>152</v>
      </c>
      <c r="B27" s="94" t="s">
        <v>102</v>
      </c>
      <c r="C27" s="84">
        <f>'2009 год план'!R71+'2009 год план'!S71</f>
        <v>138100</v>
      </c>
      <c r="D27" s="84">
        <f t="shared" si="0"/>
        <v>3.2979521890068093</v>
      </c>
      <c r="E27" s="84">
        <f>C27*1.111</f>
        <v>153429.1</v>
      </c>
      <c r="F27" s="84">
        <f t="shared" si="1"/>
        <v>3.6640248819865655</v>
      </c>
      <c r="G27" s="84">
        <f>E27*1.1</f>
        <v>168772.01</v>
      </c>
      <c r="H27" s="84">
        <v>183961.49090000003</v>
      </c>
      <c r="I27" s="84">
        <v>198678.41017200006</v>
      </c>
      <c r="J27" s="84">
        <v>212585.89888404007</v>
      </c>
    </row>
    <row r="28" spans="1:10" ht="12.75">
      <c r="A28" s="123" t="s">
        <v>153</v>
      </c>
      <c r="B28" s="94" t="s">
        <v>112</v>
      </c>
      <c r="C28" s="84">
        <f>'2009 год план'!R72+'2009 год план'!S72</f>
        <v>12974859.413869595</v>
      </c>
      <c r="D28" s="84">
        <f t="shared" si="0"/>
        <v>309.85131068810165</v>
      </c>
      <c r="E28" s="84">
        <f>C28</f>
        <v>12974859.413869595</v>
      </c>
      <c r="F28" s="84">
        <f t="shared" si="1"/>
        <v>309.85131068810165</v>
      </c>
      <c r="G28" s="84">
        <f>9403654.21*109.2/100</f>
        <v>10268790.39732</v>
      </c>
      <c r="H28" s="84">
        <v>15556856.437229646</v>
      </c>
      <c r="I28" s="84">
        <v>16801404.95220802</v>
      </c>
      <c r="J28" s="84">
        <v>17977503.298862584</v>
      </c>
    </row>
    <row r="29" spans="1:10" ht="12.75">
      <c r="A29" s="123" t="s">
        <v>154</v>
      </c>
      <c r="B29" s="94" t="s">
        <v>158</v>
      </c>
      <c r="C29" s="84">
        <f>'2009 год план'!R74</f>
        <v>4875.1255</v>
      </c>
      <c r="D29" s="84">
        <f t="shared" si="0"/>
        <v>0.1164223809877474</v>
      </c>
      <c r="E29" s="84">
        <f>C29*1.111</f>
        <v>5416.2644305</v>
      </c>
      <c r="F29" s="84">
        <f t="shared" si="1"/>
        <v>0.12934526527738738</v>
      </c>
      <c r="G29" s="84">
        <v>0</v>
      </c>
      <c r="H29" s="84">
        <v>6494.101052169502</v>
      </c>
      <c r="I29" s="84">
        <v>7013.629136343062</v>
      </c>
      <c r="J29" s="84">
        <v>7504.583175887076</v>
      </c>
    </row>
    <row r="30" spans="1:10" ht="12.75">
      <c r="A30" s="123" t="s">
        <v>155</v>
      </c>
      <c r="B30" s="93" t="s">
        <v>106</v>
      </c>
      <c r="C30" s="82">
        <f>SUM(C14:C24,C28:C29)</f>
        <v>69719276.04099624</v>
      </c>
      <c r="D30" s="82">
        <f>SUM(D14:D24,D28:D29)</f>
        <v>1664.9590082213874</v>
      </c>
      <c r="E30" s="82">
        <f>SUM(E14:E24,E28:E29)</f>
        <v>65810173.21458831</v>
      </c>
      <c r="F30" s="82">
        <f>SUM(F14:F24,F28:F29)</f>
        <v>1571.606117392967</v>
      </c>
      <c r="G30" s="82">
        <f>SUM(G14:G24,G28:G29)</f>
        <v>72302029.47367373</v>
      </c>
      <c r="H30" s="82">
        <v>84911681.65759279</v>
      </c>
      <c r="I30" s="82">
        <v>95768545.2699122</v>
      </c>
      <c r="J30" s="82">
        <v>107793894.63708334</v>
      </c>
    </row>
    <row r="31" spans="1:10" ht="13.5">
      <c r="A31" s="117">
        <v>3</v>
      </c>
      <c r="B31" s="93" t="s">
        <v>121</v>
      </c>
      <c r="C31" s="104">
        <f>C30/C9</f>
        <v>1664.959008221387</v>
      </c>
      <c r="D31" s="82"/>
      <c r="E31" s="104">
        <f>E30/E9</f>
        <v>1571.6061173929675</v>
      </c>
      <c r="F31" s="104"/>
      <c r="G31" s="104">
        <f>G30/G9</f>
        <v>1934.186780851118</v>
      </c>
      <c r="H31" s="104">
        <v>2027.7673164004887</v>
      </c>
      <c r="I31" s="104">
        <v>2287.038982700251</v>
      </c>
      <c r="J31" s="104">
        <v>2574.215139608533</v>
      </c>
    </row>
    <row r="32" spans="1:10" s="95" customFormat="1" ht="13.5">
      <c r="A32" s="118">
        <v>4</v>
      </c>
      <c r="B32" s="105" t="s">
        <v>118</v>
      </c>
      <c r="C32" s="104">
        <f>C30/C9</f>
        <v>1664.959008221387</v>
      </c>
      <c r="D32" s="106">
        <v>1664.96</v>
      </c>
      <c r="E32" s="106">
        <v>1664.96</v>
      </c>
      <c r="F32" s="106"/>
      <c r="G32" s="104">
        <v>1934.186780851118</v>
      </c>
      <c r="H32" s="106">
        <v>2125.9874239999995</v>
      </c>
      <c r="I32" s="106">
        <v>2402.365789119999</v>
      </c>
      <c r="J32" s="106">
        <v>2714.673341705599</v>
      </c>
    </row>
    <row r="33" spans="1:10" s="85" customFormat="1" ht="12.75">
      <c r="A33" s="117">
        <v>5</v>
      </c>
      <c r="B33" s="93" t="s">
        <v>119</v>
      </c>
      <c r="C33" s="107"/>
      <c r="D33" s="87"/>
      <c r="E33" s="87">
        <f>E9*E32</f>
        <v>69719317.57120001</v>
      </c>
      <c r="F33" s="87"/>
      <c r="G33" s="87">
        <f>G32*G9</f>
        <v>72302029.47367373</v>
      </c>
      <c r="H33" s="87">
        <v>89024596.60666527</v>
      </c>
      <c r="I33" s="87">
        <v>100597794.16553175</v>
      </c>
      <c r="J33" s="87">
        <v>113675507.40705088</v>
      </c>
    </row>
    <row r="34" spans="1:10" s="86" customFormat="1" ht="12.75">
      <c r="A34" s="119">
        <v>6</v>
      </c>
      <c r="B34" s="108" t="s">
        <v>105</v>
      </c>
      <c r="C34" s="109"/>
      <c r="D34" s="109"/>
      <c r="E34" s="109">
        <f>E33-E30</f>
        <v>3909144.3566117063</v>
      </c>
      <c r="F34" s="109"/>
      <c r="G34" s="109">
        <f>G33-G30</f>
        <v>0</v>
      </c>
      <c r="H34" s="109">
        <v>4112914.94907248</v>
      </c>
      <c r="I34" s="109">
        <v>4829248.895619556</v>
      </c>
      <c r="J34" s="109">
        <v>5881612.769967541</v>
      </c>
    </row>
    <row r="35" spans="1:10" s="86" customFormat="1" ht="12.75">
      <c r="A35" s="119"/>
      <c r="B35" s="108" t="s">
        <v>157</v>
      </c>
      <c r="C35" s="109"/>
      <c r="D35" s="109"/>
      <c r="E35" s="109">
        <f>E34*20%</f>
        <v>781828.8713223413</v>
      </c>
      <c r="F35" s="109"/>
      <c r="G35" s="109">
        <f>G34*20%</f>
        <v>0</v>
      </c>
      <c r="H35" s="109">
        <v>822582.9898144961</v>
      </c>
      <c r="I35" s="109">
        <v>965849.7791239113</v>
      </c>
      <c r="J35" s="109">
        <v>1176322.5539935082</v>
      </c>
    </row>
    <row r="36" spans="1:10" ht="12.75">
      <c r="A36" s="116">
        <v>7</v>
      </c>
      <c r="B36" s="90" t="s">
        <v>122</v>
      </c>
      <c r="C36" s="81"/>
      <c r="D36" s="81"/>
      <c r="E36" s="112">
        <f>E32/C32</f>
        <v>1.000000595677496</v>
      </c>
      <c r="F36" s="81"/>
      <c r="G36" s="113">
        <f>$G$31/1723.11</f>
        <v>1.1224975659424634</v>
      </c>
      <c r="H36" s="113">
        <v>1.13</v>
      </c>
      <c r="I36" s="113">
        <v>1.13</v>
      </c>
      <c r="J36" s="113">
        <v>1.13</v>
      </c>
    </row>
    <row r="37" spans="1:10" s="85" customFormat="1" ht="25.5">
      <c r="A37" s="117">
        <v>8</v>
      </c>
      <c r="B37" s="93" t="s">
        <v>123</v>
      </c>
      <c r="C37" s="87">
        <v>83.47</v>
      </c>
      <c r="D37" s="87"/>
      <c r="E37" s="87">
        <f>'[1]68 млн '!$I$15</f>
        <v>25947430.158356164</v>
      </c>
      <c r="F37" s="87"/>
      <c r="G37" s="87">
        <f>'[3]расчет процентов по кредиту'!$F$42</f>
        <v>4252833.2930000005</v>
      </c>
      <c r="H37" s="87">
        <v>20507431.75835616</v>
      </c>
      <c r="I37" s="87">
        <v>17787432.558356166</v>
      </c>
      <c r="J37" s="87">
        <v>15067453.358356167</v>
      </c>
    </row>
    <row r="38" spans="1:11" ht="12.75">
      <c r="A38" s="116"/>
      <c r="B38" s="90" t="s">
        <v>124</v>
      </c>
      <c r="C38" s="81"/>
      <c r="D38" s="81"/>
      <c r="E38" s="81">
        <v>13599996</v>
      </c>
      <c r="F38" s="81"/>
      <c r="G38" s="81">
        <v>3800000</v>
      </c>
      <c r="H38" s="81">
        <v>13599996</v>
      </c>
      <c r="I38" s="81">
        <v>13599996</v>
      </c>
      <c r="J38" s="81">
        <v>13600016</v>
      </c>
      <c r="K38" s="89">
        <f>E38+G38+H38+I38+J38</f>
        <v>58200004</v>
      </c>
    </row>
    <row r="39" spans="1:11" ht="12.75">
      <c r="A39" s="116"/>
      <c r="B39" s="90" t="s">
        <v>125</v>
      </c>
      <c r="C39" s="81"/>
      <c r="D39" s="81"/>
      <c r="E39" s="81">
        <f>E37-E38</f>
        <v>12347434.158356164</v>
      </c>
      <c r="F39" s="81"/>
      <c r="G39" s="81">
        <f>G37-G38</f>
        <v>452833.2930000005</v>
      </c>
      <c r="H39" s="81">
        <v>6907435.758356161</v>
      </c>
      <c r="I39" s="81">
        <v>4187436.558356166</v>
      </c>
      <c r="J39" s="81">
        <v>1467437.3583561666</v>
      </c>
      <c r="K39" s="89">
        <f>E39+G39+H39+I39+J39</f>
        <v>25362577.12642466</v>
      </c>
    </row>
    <row r="40" spans="1:10" ht="12.75">
      <c r="A40" s="116"/>
      <c r="B40" s="90"/>
      <c r="C40" s="81"/>
      <c r="D40" s="81"/>
      <c r="E40" s="81"/>
      <c r="F40" s="81"/>
      <c r="G40" s="81"/>
      <c r="H40" s="81"/>
      <c r="I40" s="81"/>
      <c r="J40" s="81"/>
    </row>
    <row r="41" spans="1:10" s="85" customFormat="1" ht="25.5">
      <c r="A41" s="117">
        <v>9</v>
      </c>
      <c r="B41" s="93" t="s">
        <v>126</v>
      </c>
      <c r="C41" s="87"/>
      <c r="D41" s="87"/>
      <c r="E41" s="87">
        <f>(E37-(E34-E35))/E9</f>
        <v>544.9648598075819</v>
      </c>
      <c r="F41" s="87"/>
      <c r="G41" s="87">
        <f>(G37-(G34-G35))/G9</f>
        <v>113.76961333401105</v>
      </c>
      <c r="H41" s="87">
        <v>411.1598260013363</v>
      </c>
      <c r="I41" s="87">
        <v>332.51844003901465</v>
      </c>
      <c r="J41" s="87">
        <v>247.45777420901402</v>
      </c>
    </row>
    <row r="42" spans="1:10" s="85" customFormat="1" ht="25.5" hidden="1">
      <c r="A42" s="117"/>
      <c r="B42" s="93" t="s">
        <v>127</v>
      </c>
      <c r="C42" s="87"/>
      <c r="D42" s="87"/>
      <c r="E42" s="87">
        <f>E38/E9</f>
        <v>324.78013453065785</v>
      </c>
      <c r="F42" s="87"/>
      <c r="G42" s="87">
        <f>G38/G9</f>
        <v>101.65564951272167</v>
      </c>
      <c r="H42" s="87">
        <v>324.78013453065785</v>
      </c>
      <c r="I42" s="87">
        <v>324.78013453065785</v>
      </c>
      <c r="J42" s="87">
        <v>324.78061214864323</v>
      </c>
    </row>
    <row r="43" spans="1:10" ht="12.75">
      <c r="A43" s="116"/>
      <c r="B43" s="90"/>
      <c r="C43" s="81"/>
      <c r="D43" s="81"/>
      <c r="E43" s="81"/>
      <c r="F43" s="81"/>
      <c r="G43" s="81"/>
      <c r="H43" s="81"/>
      <c r="I43" s="81"/>
      <c r="J43" s="81"/>
    </row>
    <row r="44" spans="1:10" s="85" customFormat="1" ht="38.25">
      <c r="A44" s="117">
        <v>10</v>
      </c>
      <c r="B44" s="124" t="s">
        <v>128</v>
      </c>
      <c r="C44" s="87">
        <f>(C32+C37)</f>
        <v>1748.429008221387</v>
      </c>
      <c r="D44" s="87"/>
      <c r="E44" s="87">
        <f>E32+E41</f>
        <v>2209.924859807582</v>
      </c>
      <c r="F44" s="87"/>
      <c r="G44" s="87">
        <f>G32+G41</f>
        <v>2047.956394185129</v>
      </c>
      <c r="H44" s="87">
        <v>2537.1472500013356</v>
      </c>
      <c r="I44" s="87">
        <v>2734.8842291590136</v>
      </c>
      <c r="J44" s="87">
        <v>2962.131115914613</v>
      </c>
    </row>
    <row r="45" spans="1:10" s="97" customFormat="1" ht="25.5">
      <c r="A45" s="120">
        <v>11</v>
      </c>
      <c r="B45" s="111" t="s">
        <v>136</v>
      </c>
      <c r="C45" s="112"/>
      <c r="D45" s="112"/>
      <c r="E45" s="113">
        <f>E44/C44</f>
        <v>1.2639488646185628</v>
      </c>
      <c r="F45" s="113"/>
      <c r="G45" s="113">
        <v>1.173</v>
      </c>
      <c r="H45" s="113">
        <v>1.076223554322093</v>
      </c>
      <c r="I45" s="113">
        <v>1.0779367374745688</v>
      </c>
      <c r="J45" s="113">
        <v>1.0830919584575902</v>
      </c>
    </row>
    <row r="46" spans="1:10" ht="12.75">
      <c r="A46" s="116">
        <v>12</v>
      </c>
      <c r="B46" s="90" t="s">
        <v>130</v>
      </c>
      <c r="C46" s="81"/>
      <c r="D46" s="81"/>
      <c r="E46" s="114">
        <v>5</v>
      </c>
      <c r="F46" s="81"/>
      <c r="G46" s="81"/>
      <c r="H46" s="81"/>
      <c r="I46" s="81"/>
      <c r="J46" s="81"/>
    </row>
  </sheetData>
  <mergeCells count="12">
    <mergeCell ref="G7:G8"/>
    <mergeCell ref="H7:H8"/>
    <mergeCell ref="I7:I8"/>
    <mergeCell ref="J7:J8"/>
    <mergeCell ref="A3:J3"/>
    <mergeCell ref="A6:A8"/>
    <mergeCell ref="B6:B8"/>
    <mergeCell ref="C6:J6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1st</cp:lastModifiedBy>
  <cp:lastPrinted>2010-05-11T07:11:23Z</cp:lastPrinted>
  <dcterms:created xsi:type="dcterms:W3CDTF">2009-04-17T05:02:10Z</dcterms:created>
  <dcterms:modified xsi:type="dcterms:W3CDTF">2010-05-11T07:11:25Z</dcterms:modified>
  <cp:category/>
  <cp:version/>
  <cp:contentType/>
  <cp:contentStatus/>
</cp:coreProperties>
</file>